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5580" windowHeight="4500" tabRatio="772" activeTab="0"/>
  </bookViews>
  <sheets>
    <sheet name="PARACLINICE " sheetId="1" r:id="rId1"/>
  </sheets>
  <definedNames/>
  <calcPr fullCalcOnLoad="1"/>
</workbook>
</file>

<file path=xl/sharedStrings.xml><?xml version="1.0" encoding="utf-8"?>
<sst xmlns="http://schemas.openxmlformats.org/spreadsheetml/2006/main" count="240" uniqueCount="104">
  <si>
    <t>LUNA</t>
  </si>
  <si>
    <t>TOTAL</t>
  </si>
  <si>
    <t>CONTRACTAT</t>
  </si>
  <si>
    <t>SPITALUL MUNICIPAL OLTENITA</t>
  </si>
  <si>
    <t>MEDIMA HEALTH - R.Inalta Performanta</t>
  </si>
  <si>
    <t>S.C.ALPHA MEDICAL INVEST</t>
  </si>
  <si>
    <t>S.C.BABEL MODEL SRL</t>
  </si>
  <si>
    <t>S.C.CLINICA SANTE</t>
  </si>
  <si>
    <t>S.C.SAN CRIS</t>
  </si>
  <si>
    <t>DENUMIRE FURNIZOR</t>
  </si>
  <si>
    <t>S.C.GRINEI LIFE SRL</t>
  </si>
  <si>
    <t>CMI DR.FILIP MARIA</t>
  </si>
  <si>
    <t>S.C.PROMED SRL</t>
  </si>
  <si>
    <t xml:space="preserve">S.C.CABINET MEDICAL DR.TOPOLOGEANU GABRIELA SRL </t>
  </si>
  <si>
    <t>SPITALUL JUDEȚEAN DR.POMPEI SAMARIAN CĂLĂRAȘI</t>
  </si>
  <si>
    <t>SPITALUL JUDEȚEAN DR.POMPEI SAMARIAN CĂLĂRAȘI -R.CONVENȚIONALĂ</t>
  </si>
  <si>
    <t>SPITALUL JUDEȚEAN DR.POMPEI SAMARIAN CĂLĂRAȘI - ÎP</t>
  </si>
  <si>
    <t>ALPHA MEDICAL INVEST- R.Inalta Performanta</t>
  </si>
  <si>
    <t>ALPHA MEDICAL INVEST- R.Conventionala</t>
  </si>
  <si>
    <t>VALOARE</t>
  </si>
  <si>
    <t>CONTRACT</t>
  </si>
  <si>
    <t>TOTAL MONITORIZARI</t>
  </si>
  <si>
    <t>TOTAL PREVENTII</t>
  </si>
  <si>
    <t>SITUAȚIE VALORI CONTRACTATE PARACLINICE - HISTOPATOLOGIE PENTRU ANUL 2023</t>
  </si>
  <si>
    <t>SITUAȚIE VALORI CONTRACTATE PARACLINICE - ANALIZE LABORATOR PENTRU ANUL 2023</t>
  </si>
  <si>
    <t>ianuarie 2023 monitorizare</t>
  </si>
  <si>
    <t>ianuarie 2023 preventie</t>
  </si>
  <si>
    <t>Total ianuarie 2023</t>
  </si>
  <si>
    <t>februarie 2023 monitorizare</t>
  </si>
  <si>
    <t>februarie 2023 preventie</t>
  </si>
  <si>
    <t>Total februarie 2023</t>
  </si>
  <si>
    <t>martie 2023 monitorizare</t>
  </si>
  <si>
    <t>martie 2023 preventie</t>
  </si>
  <si>
    <t>Total martie 2023</t>
  </si>
  <si>
    <t>TRIM.I 2023</t>
  </si>
  <si>
    <t>TRIM.I 2023 monit</t>
  </si>
  <si>
    <t>TRIM.I 2023 preventii</t>
  </si>
  <si>
    <t>TRIM.I 2023+monitor+preventii</t>
  </si>
  <si>
    <t>aprilie 2023 monitorizare</t>
  </si>
  <si>
    <t>aprilie 2023 preventie</t>
  </si>
  <si>
    <t>Total aprilie 2023</t>
  </si>
  <si>
    <t>mai 2023 monitorizare</t>
  </si>
  <si>
    <t>mai 2023 preventie</t>
  </si>
  <si>
    <t>Total mai 2023</t>
  </si>
  <si>
    <t>iunie 2023 monitorizare</t>
  </si>
  <si>
    <t>iunie 2023 preventie</t>
  </si>
  <si>
    <t>Total iunie 2023</t>
  </si>
  <si>
    <t>TRIM.II 2023</t>
  </si>
  <si>
    <t>TRIM.II 2023 monit</t>
  </si>
  <si>
    <t>TRIM.II 2023 preventii</t>
  </si>
  <si>
    <t>iulie 2023 preventie</t>
  </si>
  <si>
    <t>iulie 2023 monitorizare</t>
  </si>
  <si>
    <t>Total iulie 2023</t>
  </si>
  <si>
    <t>august 2023 preventie</t>
  </si>
  <si>
    <t>august 2023 monitorizare</t>
  </si>
  <si>
    <t>Total august 2023</t>
  </si>
  <si>
    <t>sept 2023 preventie</t>
  </si>
  <si>
    <t>sept 2023 monitorizare</t>
  </si>
  <si>
    <t>Total sept 2023</t>
  </si>
  <si>
    <t>TRIM.III 2023</t>
  </si>
  <si>
    <t>TRIM.III 2023 monit</t>
  </si>
  <si>
    <t>TRIM.III 2023 preventie</t>
  </si>
  <si>
    <t>TRIM.III 2023+monitor+preventie</t>
  </si>
  <si>
    <t>oct 2023 preventie</t>
  </si>
  <si>
    <t>oct 2023 monitorizare</t>
  </si>
  <si>
    <t>Total oct 2023</t>
  </si>
  <si>
    <t>nov 2023 preventie</t>
  </si>
  <si>
    <t>nov 2023 monitorizare</t>
  </si>
  <si>
    <t>Total nov 2023</t>
  </si>
  <si>
    <t>dec 2023 preventie</t>
  </si>
  <si>
    <t>dec 2023 monitorizare</t>
  </si>
  <si>
    <t>Total dec 2023</t>
  </si>
  <si>
    <t>TOTAL TRIM IV 2023</t>
  </si>
  <si>
    <t>TRIM.IV 2023 monit</t>
  </si>
  <si>
    <t>TRIM.IV 2023 preventie</t>
  </si>
  <si>
    <t>TRIM.IV 2023+monitor+preventie</t>
  </si>
  <si>
    <t>TOTAL GENERAL 2023</t>
  </si>
  <si>
    <t>TOTAL monitorizari 2023</t>
  </si>
  <si>
    <t>TOTAL preventie 2023</t>
  </si>
  <si>
    <t>TOTAL GENERAL 2023+monitorizari+preventie</t>
  </si>
  <si>
    <t>TOTAL AN  2023</t>
  </si>
  <si>
    <t>S.C.ROYALMED</t>
  </si>
  <si>
    <t>TOTTAL</t>
  </si>
  <si>
    <t>SITUAȚIE VALORI CONTRACTATE PARACLINICE - RADIOLOGIE Și imagistică medicală PENTRU ANUL 2023</t>
  </si>
  <si>
    <t>TRIM.I 2023+monitorizari+preventii</t>
  </si>
  <si>
    <t>TRIM.II 2023+monitor+preventii</t>
  </si>
  <si>
    <t>septembrie 2023 preventie</t>
  </si>
  <si>
    <t>septembrie 2023 monitorizare</t>
  </si>
  <si>
    <t>Total septembrie 2023</t>
  </si>
  <si>
    <t>PARACLINICE Situatie valori contractate pentru anul 2023</t>
  </si>
  <si>
    <t>TOTAL GENERAL 2023+Dec 2022</t>
  </si>
  <si>
    <t>monitorizare DEC 2022</t>
  </si>
  <si>
    <t>TOTAL GENERAL 2023+Monitorizare+ Preventii +UCRAINA +dec 2022</t>
  </si>
  <si>
    <t>monitorizari dec 2022</t>
  </si>
  <si>
    <t>UCRAINA AUGUST 2023</t>
  </si>
  <si>
    <t>TRIM.III 2023+monitor+preventie+ucraina</t>
  </si>
  <si>
    <t>TRIM.III 2023 ucraina</t>
  </si>
  <si>
    <t>TOTAL GENERAL 2023+monitorizari+preventie+ucraina</t>
  </si>
  <si>
    <t>TOTAL ucraina 2023</t>
  </si>
  <si>
    <t>TOTAL UCRAINA</t>
  </si>
  <si>
    <t>TRIM.III 2023 UCRAINA</t>
  </si>
  <si>
    <t>TRIM.III 2023+monitor+preventie+UCRAINA</t>
  </si>
  <si>
    <t>TRIM.II 2023+monitorizari+preventii</t>
  </si>
  <si>
    <t>CMI DR.FILIP MARIA- R.Inalta Performanta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</si>
</sst>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[$-418]mmm\-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18]d\ mmmm\ yyyy"/>
    <numFmt numFmtId="174" formatCode="0.0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4" fontId="1" fillId="0" borderId="0" xfId="0" applyNumberFormat="1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17" fontId="1" fillId="0" borderId="0" xfId="0" applyNumberFormat="1" applyFont="1" applyBorder="1" applyAlignment="1">
      <alignment wrapText="1"/>
    </xf>
    <xf numFmtId="4" fontId="0" fillId="0" borderId="10" xfId="0" applyNumberFormat="1" applyBorder="1" applyAlignment="1">
      <alignment horizontal="right"/>
    </xf>
    <xf numFmtId="1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17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17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 wrapText="1"/>
    </xf>
    <xf numFmtId="17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right" wrapText="1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17" fontId="0" fillId="0" borderId="10" xfId="0" applyNumberForma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3" fillId="0" borderId="12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17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17" fontId="7" fillId="0" borderId="10" xfId="0" applyNumberFormat="1" applyFont="1" applyBorder="1" applyAlignment="1">
      <alignment horizontal="center" wrapText="1"/>
    </xf>
    <xf numFmtId="17" fontId="0" fillId="0" borderId="10" xfId="0" applyNumberForma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0" fillId="0" borderId="10" xfId="0" applyNumberFormat="1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17" fontId="1" fillId="0" borderId="10" xfId="0" applyNumberFormat="1" applyFont="1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16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7" fontId="0" fillId="0" borderId="10" xfId="0" applyNumberFormat="1" applyBorder="1" applyAlignment="1">
      <alignment horizontal="center"/>
    </xf>
    <xf numFmtId="17" fontId="43" fillId="0" borderId="10" xfId="0" applyNumberFormat="1" applyFont="1" applyBorder="1" applyAlignment="1">
      <alignment horizontal="center" wrapText="1"/>
    </xf>
    <xf numFmtId="4" fontId="43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 horizontal="right"/>
    </xf>
    <xf numFmtId="17" fontId="44" fillId="0" borderId="10" xfId="0" applyNumberFormat="1" applyFont="1" applyBorder="1" applyAlignment="1">
      <alignment horizontal="center" wrapText="1"/>
    </xf>
    <xf numFmtId="4" fontId="44" fillId="0" borderId="10" xfId="0" applyNumberFormat="1" applyFont="1" applyBorder="1" applyAlignment="1">
      <alignment wrapText="1"/>
    </xf>
    <xf numFmtId="4" fontId="44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" fontId="3" fillId="0" borderId="0" xfId="0" applyNumberFormat="1" applyFont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" fontId="44" fillId="0" borderId="0" xfId="0" applyNumberFormat="1" applyFont="1" applyBorder="1" applyAlignment="1">
      <alignment/>
    </xf>
    <xf numFmtId="4" fontId="43" fillId="0" borderId="0" xfId="0" applyNumberFormat="1" applyFont="1" applyBorder="1" applyAlignment="1">
      <alignment/>
    </xf>
    <xf numFmtId="4" fontId="43" fillId="0" borderId="0" xfId="0" applyNumberFormat="1" applyFont="1" applyBorder="1" applyAlignment="1">
      <alignment/>
    </xf>
    <xf numFmtId="4" fontId="44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17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/>
    </xf>
    <xf numFmtId="4" fontId="43" fillId="0" borderId="13" xfId="0" applyNumberFormat="1" applyFont="1" applyBorder="1" applyAlignment="1">
      <alignment horizontal="right"/>
    </xf>
    <xf numFmtId="4" fontId="43" fillId="0" borderId="13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 wrapText="1"/>
    </xf>
    <xf numFmtId="4" fontId="1" fillId="0" borderId="0" xfId="0" applyNumberFormat="1" applyFont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4" fontId="0" fillId="0" borderId="1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2"/>
  <sheetViews>
    <sheetView tabSelected="1" zoomScalePageLayoutView="0" workbookViewId="0" topLeftCell="A253">
      <selection activeCell="B263" sqref="B263"/>
    </sheetView>
  </sheetViews>
  <sheetFormatPr defaultColWidth="9.140625" defaultRowHeight="12.75"/>
  <cols>
    <col min="1" max="1" width="14.421875" style="0" customWidth="1"/>
    <col min="2" max="2" width="13.57421875" style="0" customWidth="1"/>
    <col min="3" max="3" width="11.421875" style="0" customWidth="1"/>
    <col min="4" max="4" width="13.28125" style="0" customWidth="1"/>
    <col min="5" max="5" width="11.8515625" style="0" customWidth="1"/>
    <col min="6" max="6" width="11.7109375" style="0" customWidth="1"/>
    <col min="7" max="7" width="12.421875" style="0" customWidth="1"/>
    <col min="8" max="8" width="11.8515625" style="0" customWidth="1"/>
    <col min="9" max="9" width="11.57421875" style="0" customWidth="1"/>
    <col min="10" max="11" width="11.7109375" style="0" customWidth="1"/>
    <col min="12" max="12" width="12.421875" style="0" customWidth="1"/>
    <col min="13" max="13" width="10.140625" style="0" customWidth="1"/>
    <col min="14" max="17" width="8.421875" style="0" customWidth="1"/>
    <col min="18" max="18" width="10.57421875" style="0" customWidth="1"/>
  </cols>
  <sheetData>
    <row r="1" spans="1:2" ht="12.75">
      <c r="A1" s="81"/>
      <c r="B1" s="82"/>
    </row>
    <row r="2" spans="1:4" ht="12.75">
      <c r="A2" s="26" t="s">
        <v>24</v>
      </c>
      <c r="B2" s="80"/>
      <c r="C2" s="80"/>
      <c r="D2" s="80"/>
    </row>
    <row r="4" spans="1:12" ht="12.75">
      <c r="A4" s="114" t="s">
        <v>0</v>
      </c>
      <c r="B4" s="117" t="s">
        <v>9</v>
      </c>
      <c r="C4" s="118"/>
      <c r="D4" s="118"/>
      <c r="E4" s="118"/>
      <c r="F4" s="118"/>
      <c r="G4" s="118"/>
      <c r="H4" s="119"/>
      <c r="I4" s="107" t="s">
        <v>82</v>
      </c>
      <c r="J4" s="27"/>
      <c r="K4" s="27"/>
      <c r="L4" s="27"/>
    </row>
    <row r="5" spans="1:12" ht="81" customHeight="1">
      <c r="A5" s="115"/>
      <c r="B5" s="2" t="s">
        <v>5</v>
      </c>
      <c r="C5" s="2" t="s">
        <v>6</v>
      </c>
      <c r="D5" s="2" t="s">
        <v>7</v>
      </c>
      <c r="E5" s="2" t="s">
        <v>8</v>
      </c>
      <c r="F5" s="2" t="s">
        <v>13</v>
      </c>
      <c r="G5" s="40" t="s">
        <v>14</v>
      </c>
      <c r="H5" s="2" t="s">
        <v>81</v>
      </c>
      <c r="I5" s="108"/>
      <c r="J5" s="27"/>
      <c r="K5" s="27"/>
      <c r="L5" s="27"/>
    </row>
    <row r="6" spans="1:12" ht="25.5">
      <c r="A6" s="3"/>
      <c r="B6" s="2" t="s">
        <v>2</v>
      </c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  <c r="I6" s="2" t="s">
        <v>2</v>
      </c>
      <c r="J6" s="41"/>
      <c r="K6" s="41"/>
      <c r="L6" s="7"/>
    </row>
    <row r="7" spans="1:12" ht="12.75">
      <c r="A7" s="14">
        <v>44927</v>
      </c>
      <c r="B7" s="31">
        <f>42853.39-23.91</f>
        <v>42829.479999999996</v>
      </c>
      <c r="C7" s="31">
        <f>49948.15-1248.68</f>
        <v>48699.47</v>
      </c>
      <c r="D7" s="11">
        <f>48721.93-8.08</f>
        <v>48713.85</v>
      </c>
      <c r="E7" s="94">
        <f>52633.15-3.7</f>
        <v>52629.450000000004</v>
      </c>
      <c r="F7" s="31">
        <f>40128.79-8.6</f>
        <v>40120.19</v>
      </c>
      <c r="G7" s="31">
        <f>56193.17-14166.21</f>
        <v>42026.96</v>
      </c>
      <c r="H7" s="94">
        <f>65252.42-6.69</f>
        <v>65245.729999999996</v>
      </c>
      <c r="I7" s="13">
        <f>SUM(B7:H7)</f>
        <v>340265.13</v>
      </c>
      <c r="J7" s="18"/>
      <c r="K7" s="18"/>
      <c r="L7" s="7"/>
    </row>
    <row r="8" spans="1:12" ht="25.5">
      <c r="A8" s="74" t="s">
        <v>25</v>
      </c>
      <c r="B8" s="44">
        <v>41262.66</v>
      </c>
      <c r="C8" s="45">
        <v>0</v>
      </c>
      <c r="D8" s="45">
        <v>6274.35</v>
      </c>
      <c r="E8" s="45">
        <v>7654.63</v>
      </c>
      <c r="F8" s="45">
        <v>3439</v>
      </c>
      <c r="G8" s="45">
        <v>0</v>
      </c>
      <c r="H8" s="45">
        <v>0</v>
      </c>
      <c r="I8" s="13">
        <f aca="true" t="shared" si="0" ref="I8:I68">SUM(B8:H8)</f>
        <v>58630.64</v>
      </c>
      <c r="J8" s="46"/>
      <c r="K8" s="46"/>
      <c r="L8" s="7"/>
    </row>
    <row r="9" spans="1:12" ht="25.5">
      <c r="A9" s="74" t="s">
        <v>26</v>
      </c>
      <c r="B9" s="44">
        <v>0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13">
        <f t="shared" si="0"/>
        <v>0</v>
      </c>
      <c r="J9" s="46"/>
      <c r="K9" s="46"/>
      <c r="L9" s="7"/>
    </row>
    <row r="10" spans="1:12" ht="25.5">
      <c r="A10" s="48" t="s">
        <v>27</v>
      </c>
      <c r="B10" s="31">
        <f aca="true" t="shared" si="1" ref="B10:G10">SUM(B7:B9)</f>
        <v>84092.14</v>
      </c>
      <c r="C10" s="31">
        <f t="shared" si="1"/>
        <v>48699.47</v>
      </c>
      <c r="D10" s="31">
        <f t="shared" si="1"/>
        <v>54988.2</v>
      </c>
      <c r="E10" s="31">
        <f t="shared" si="1"/>
        <v>60284.08</v>
      </c>
      <c r="F10" s="31">
        <f t="shared" si="1"/>
        <v>43559.19</v>
      </c>
      <c r="G10" s="31">
        <f t="shared" si="1"/>
        <v>42026.96</v>
      </c>
      <c r="H10" s="31">
        <f>SUM(H7:H9)</f>
        <v>65245.729999999996</v>
      </c>
      <c r="I10" s="13">
        <f t="shared" si="0"/>
        <v>398895.77</v>
      </c>
      <c r="J10" s="36"/>
      <c r="K10" s="36"/>
      <c r="L10" s="7"/>
    </row>
    <row r="11" spans="1:12" ht="12.75">
      <c r="A11" s="14">
        <v>44958</v>
      </c>
      <c r="B11" s="31">
        <f>42853.57+391.31-1.57</f>
        <v>43243.31</v>
      </c>
      <c r="C11" s="31">
        <f>49948.37+454.47-2.52</f>
        <v>50400.32000000001</v>
      </c>
      <c r="D11" s="11">
        <f>48722.14+444.59-611.56</f>
        <v>48555.17</v>
      </c>
      <c r="E11" s="31">
        <f>52633.37-2761.75-1.43</f>
        <v>49870.19</v>
      </c>
      <c r="F11" s="31">
        <f>40128.96+363.68-26.78</f>
        <v>40465.86</v>
      </c>
      <c r="G11" s="31">
        <f>56193.4+511.69-1038.38</f>
        <v>55666.71000000001</v>
      </c>
      <c r="H11" s="31">
        <f>65252.69+596.01+6584-40.29</f>
        <v>72392.41</v>
      </c>
      <c r="I11" s="13">
        <f t="shared" si="0"/>
        <v>360593.97</v>
      </c>
      <c r="J11" s="18"/>
      <c r="K11" s="18"/>
      <c r="L11" s="7"/>
    </row>
    <row r="12" spans="1:12" ht="25.5">
      <c r="A12" s="74" t="s">
        <v>28</v>
      </c>
      <c r="B12" s="44">
        <v>37536.45</v>
      </c>
      <c r="C12" s="44">
        <v>4981.75</v>
      </c>
      <c r="D12" s="45">
        <v>4982.83</v>
      </c>
      <c r="E12" s="44">
        <v>10673.91</v>
      </c>
      <c r="F12" s="44">
        <v>3359.91</v>
      </c>
      <c r="G12" s="44">
        <v>0</v>
      </c>
      <c r="H12" s="44">
        <v>0</v>
      </c>
      <c r="I12" s="13">
        <f t="shared" si="0"/>
        <v>61534.850000000006</v>
      </c>
      <c r="J12" s="46"/>
      <c r="K12" s="46"/>
      <c r="L12" s="7"/>
    </row>
    <row r="13" spans="1:12" ht="25.5">
      <c r="A13" s="74" t="s">
        <v>29</v>
      </c>
      <c r="B13" s="44">
        <v>0</v>
      </c>
      <c r="C13" s="44">
        <v>0</v>
      </c>
      <c r="D13" s="45">
        <v>0</v>
      </c>
      <c r="E13" s="44">
        <v>0</v>
      </c>
      <c r="F13" s="44">
        <v>0</v>
      </c>
      <c r="G13" s="44">
        <v>0</v>
      </c>
      <c r="H13" s="44">
        <v>0</v>
      </c>
      <c r="I13" s="13">
        <f t="shared" si="0"/>
        <v>0</v>
      </c>
      <c r="J13" s="46"/>
      <c r="K13" s="46"/>
      <c r="L13" s="7"/>
    </row>
    <row r="14" spans="1:12" ht="25.5">
      <c r="A14" s="48" t="s">
        <v>30</v>
      </c>
      <c r="B14" s="31">
        <f aca="true" t="shared" si="2" ref="B14:G14">SUM(B11:B13)</f>
        <v>80779.76</v>
      </c>
      <c r="C14" s="31">
        <f t="shared" si="2"/>
        <v>55382.07000000001</v>
      </c>
      <c r="D14" s="31">
        <f t="shared" si="2"/>
        <v>53538</v>
      </c>
      <c r="E14" s="31">
        <f t="shared" si="2"/>
        <v>60544.100000000006</v>
      </c>
      <c r="F14" s="31">
        <f t="shared" si="2"/>
        <v>43825.770000000004</v>
      </c>
      <c r="G14" s="31">
        <f t="shared" si="2"/>
        <v>55666.71000000001</v>
      </c>
      <c r="H14" s="31">
        <f>SUM(H11:H13)</f>
        <v>72392.41</v>
      </c>
      <c r="I14" s="13">
        <f t="shared" si="0"/>
        <v>422128.82000000007</v>
      </c>
      <c r="J14" s="18"/>
      <c r="K14" s="18"/>
      <c r="L14" s="7"/>
    </row>
    <row r="15" spans="1:12" ht="12.75">
      <c r="A15" s="14">
        <v>44986</v>
      </c>
      <c r="B15" s="31">
        <f>44328.21+4425.75-355.23</f>
        <v>48398.729999999996</v>
      </c>
      <c r="C15" s="31">
        <f>50116.97-144.24</f>
        <v>49972.73</v>
      </c>
      <c r="D15" s="11">
        <f>48939.19+2894+317.96-74.82</f>
        <v>52076.33</v>
      </c>
      <c r="E15" s="31">
        <f>51243.97+3172.74-3.14</f>
        <v>54413.57</v>
      </c>
      <c r="F15" s="31">
        <f>40156.3+2292.51-358.33</f>
        <v>42090.48</v>
      </c>
      <c r="G15" s="31">
        <f>55936.12-838.79</f>
        <v>55097.33</v>
      </c>
      <c r="H15" s="31">
        <f>65260.47-6584+3433.87-74.48</f>
        <v>62035.86</v>
      </c>
      <c r="I15" s="13">
        <f t="shared" si="0"/>
        <v>364085.02999999997</v>
      </c>
      <c r="J15" s="18"/>
      <c r="K15" s="18"/>
      <c r="L15" s="7"/>
    </row>
    <row r="16" spans="1:12" ht="25.5">
      <c r="A16" s="74" t="s">
        <v>31</v>
      </c>
      <c r="B16" s="44">
        <v>48121.89</v>
      </c>
      <c r="C16" s="44">
        <v>5061.13</v>
      </c>
      <c r="D16" s="45">
        <v>5365.15</v>
      </c>
      <c r="E16" s="44">
        <v>11304.96</v>
      </c>
      <c r="F16" s="44">
        <v>4455.04</v>
      </c>
      <c r="G16" s="44">
        <v>0</v>
      </c>
      <c r="H16" s="44">
        <v>0</v>
      </c>
      <c r="I16" s="13">
        <f t="shared" si="0"/>
        <v>74308.17</v>
      </c>
      <c r="J16" s="46"/>
      <c r="K16" s="46"/>
      <c r="L16" s="7"/>
    </row>
    <row r="17" spans="1:12" ht="25.5">
      <c r="A17" s="74" t="s">
        <v>32</v>
      </c>
      <c r="B17" s="44">
        <v>0</v>
      </c>
      <c r="C17" s="44">
        <v>189.59</v>
      </c>
      <c r="D17" s="45">
        <v>0</v>
      </c>
      <c r="E17" s="44">
        <v>0</v>
      </c>
      <c r="F17" s="44">
        <v>522.22</v>
      </c>
      <c r="G17" s="44">
        <v>0</v>
      </c>
      <c r="H17" s="44">
        <v>0</v>
      </c>
      <c r="I17" s="13">
        <f t="shared" si="0"/>
        <v>711.8100000000001</v>
      </c>
      <c r="J17" s="46"/>
      <c r="K17" s="46"/>
      <c r="L17" s="7"/>
    </row>
    <row r="18" spans="1:12" ht="25.5">
      <c r="A18" s="48" t="s">
        <v>33</v>
      </c>
      <c r="B18" s="35">
        <f aca="true" t="shared" si="3" ref="B18:G18">SUM(B15:B17)</f>
        <v>96520.62</v>
      </c>
      <c r="C18" s="35">
        <f t="shared" si="3"/>
        <v>55223.45</v>
      </c>
      <c r="D18" s="31">
        <f t="shared" si="3"/>
        <v>57441.48</v>
      </c>
      <c r="E18" s="31">
        <f t="shared" si="3"/>
        <v>65718.53</v>
      </c>
      <c r="F18" s="31">
        <f t="shared" si="3"/>
        <v>47067.740000000005</v>
      </c>
      <c r="G18" s="31">
        <f t="shared" si="3"/>
        <v>55097.33</v>
      </c>
      <c r="H18" s="31">
        <f>SUM(H15:H17)</f>
        <v>62035.86</v>
      </c>
      <c r="I18" s="13">
        <f t="shared" si="0"/>
        <v>439105.01</v>
      </c>
      <c r="J18" s="18"/>
      <c r="K18" s="18"/>
      <c r="L18" s="7"/>
    </row>
    <row r="19" spans="1:12" ht="12.75">
      <c r="A19" s="28" t="s">
        <v>34</v>
      </c>
      <c r="B19" s="34">
        <f>B7+B11+B15</f>
        <v>134471.52</v>
      </c>
      <c r="C19" s="34">
        <f aca="true" t="shared" si="4" ref="C19:G21">C7+C11+C15</f>
        <v>149072.52000000002</v>
      </c>
      <c r="D19" s="34">
        <f t="shared" si="4"/>
        <v>149345.34999999998</v>
      </c>
      <c r="E19" s="34">
        <f t="shared" si="4"/>
        <v>156913.21000000002</v>
      </c>
      <c r="F19" s="34">
        <f t="shared" si="4"/>
        <v>122676.53</v>
      </c>
      <c r="G19" s="34">
        <f t="shared" si="4"/>
        <v>152791</v>
      </c>
      <c r="H19" s="34">
        <f>H7+H11+H15</f>
        <v>199674</v>
      </c>
      <c r="I19" s="13">
        <f t="shared" si="0"/>
        <v>1064944.1300000001</v>
      </c>
      <c r="J19" s="4"/>
      <c r="K19" s="4"/>
      <c r="L19" s="7"/>
    </row>
    <row r="20" spans="1:12" ht="25.5">
      <c r="A20" s="49" t="s">
        <v>35</v>
      </c>
      <c r="B20" s="34">
        <f>B8+B12+B16</f>
        <v>126921</v>
      </c>
      <c r="C20" s="34">
        <f t="shared" si="4"/>
        <v>10042.880000000001</v>
      </c>
      <c r="D20" s="34">
        <f t="shared" si="4"/>
        <v>16622.33</v>
      </c>
      <c r="E20" s="34">
        <f t="shared" si="4"/>
        <v>29633.5</v>
      </c>
      <c r="F20" s="34">
        <f t="shared" si="4"/>
        <v>11253.95</v>
      </c>
      <c r="G20" s="34">
        <f t="shared" si="4"/>
        <v>0</v>
      </c>
      <c r="H20" s="34">
        <f>H8+H12+H16</f>
        <v>0</v>
      </c>
      <c r="I20" s="13">
        <f t="shared" si="0"/>
        <v>194473.66000000003</v>
      </c>
      <c r="J20" s="4"/>
      <c r="K20" s="4"/>
      <c r="L20" s="7"/>
    </row>
    <row r="21" spans="1:12" ht="25.5">
      <c r="A21" s="49" t="s">
        <v>36</v>
      </c>
      <c r="B21" s="34">
        <f>B9+B13+B17</f>
        <v>0</v>
      </c>
      <c r="C21" s="34">
        <f t="shared" si="4"/>
        <v>189.59</v>
      </c>
      <c r="D21" s="34">
        <f t="shared" si="4"/>
        <v>0</v>
      </c>
      <c r="E21" s="34">
        <f t="shared" si="4"/>
        <v>0</v>
      </c>
      <c r="F21" s="34">
        <f t="shared" si="4"/>
        <v>522.22</v>
      </c>
      <c r="G21" s="34">
        <f t="shared" si="4"/>
        <v>0</v>
      </c>
      <c r="H21" s="34">
        <f>H9+H13+H17</f>
        <v>0</v>
      </c>
      <c r="I21" s="13">
        <f t="shared" si="0"/>
        <v>711.8100000000001</v>
      </c>
      <c r="J21" s="4"/>
      <c r="K21" s="4"/>
      <c r="L21" s="7"/>
    </row>
    <row r="22" spans="1:12" ht="38.25">
      <c r="A22" s="49" t="s">
        <v>37</v>
      </c>
      <c r="B22" s="34">
        <f aca="true" t="shared" si="5" ref="B22:G22">SUM(B19:B21)</f>
        <v>261392.52</v>
      </c>
      <c r="C22" s="34">
        <f t="shared" si="5"/>
        <v>159304.99000000002</v>
      </c>
      <c r="D22" s="34">
        <f t="shared" si="5"/>
        <v>165967.68</v>
      </c>
      <c r="E22" s="34">
        <f t="shared" si="5"/>
        <v>186546.71000000002</v>
      </c>
      <c r="F22" s="34">
        <f t="shared" si="5"/>
        <v>134452.7</v>
      </c>
      <c r="G22" s="34">
        <f t="shared" si="5"/>
        <v>152791</v>
      </c>
      <c r="H22" s="34">
        <f>SUM(H19:H21)</f>
        <v>199674</v>
      </c>
      <c r="I22" s="13">
        <f t="shared" si="0"/>
        <v>1260129.5999999999</v>
      </c>
      <c r="J22" s="4"/>
      <c r="K22" s="4"/>
      <c r="L22" s="7"/>
    </row>
    <row r="23" spans="1:12" ht="12.75">
      <c r="A23" s="14">
        <v>45017</v>
      </c>
      <c r="B23" s="50">
        <f>44010.96+524.55-173.02</f>
        <v>44362.490000000005</v>
      </c>
      <c r="C23" s="37">
        <f>50608.56+331.14-0.53</f>
        <v>50939.17</v>
      </c>
      <c r="D23" s="37">
        <f>53388.79-317.96-1.49</f>
        <v>53069.340000000004</v>
      </c>
      <c r="E23" s="37">
        <f>47772.29+384.42-1.06</f>
        <v>48155.65</v>
      </c>
      <c r="F23" s="37">
        <f>41091.54+278.02-33.9</f>
        <v>41335.659999999996</v>
      </c>
      <c r="G23" s="37">
        <f>56389.43-12944.41</f>
        <v>43445.020000000004</v>
      </c>
      <c r="H23" s="37">
        <f>62238.43+437.9-29</f>
        <v>62647.33</v>
      </c>
      <c r="I23" s="13">
        <f t="shared" si="0"/>
        <v>343954.66000000003</v>
      </c>
      <c r="J23" s="18"/>
      <c r="K23" s="18"/>
      <c r="L23" s="7"/>
    </row>
    <row r="24" spans="1:12" ht="25.5">
      <c r="A24" s="43" t="s">
        <v>38</v>
      </c>
      <c r="B24" s="51">
        <v>27326.45</v>
      </c>
      <c r="C24" s="52">
        <v>3997.35</v>
      </c>
      <c r="D24" s="52">
        <v>5637.33</v>
      </c>
      <c r="E24" s="52">
        <v>8135.25</v>
      </c>
      <c r="F24" s="52">
        <v>3061.46</v>
      </c>
      <c r="G24" s="52">
        <v>0</v>
      </c>
      <c r="H24" s="52">
        <v>0</v>
      </c>
      <c r="I24" s="13">
        <f t="shared" si="0"/>
        <v>48157.84</v>
      </c>
      <c r="J24" s="54"/>
      <c r="K24" s="54"/>
      <c r="L24" s="7"/>
    </row>
    <row r="25" spans="1:12" ht="25.5">
      <c r="A25" s="47" t="s">
        <v>39</v>
      </c>
      <c r="B25" s="51">
        <v>0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13">
        <f t="shared" si="0"/>
        <v>0</v>
      </c>
      <c r="J25" s="54"/>
      <c r="K25" s="54"/>
      <c r="L25" s="7"/>
    </row>
    <row r="26" spans="1:12" ht="25.5">
      <c r="A26" s="48" t="s">
        <v>40</v>
      </c>
      <c r="B26" s="50">
        <f aca="true" t="shared" si="6" ref="B26:H26">SUM(B23:B25)</f>
        <v>71688.94</v>
      </c>
      <c r="C26" s="50">
        <f t="shared" si="6"/>
        <v>54936.52</v>
      </c>
      <c r="D26" s="50">
        <f t="shared" si="6"/>
        <v>58706.670000000006</v>
      </c>
      <c r="E26" s="50">
        <f t="shared" si="6"/>
        <v>56290.9</v>
      </c>
      <c r="F26" s="50">
        <f t="shared" si="6"/>
        <v>44397.119999999995</v>
      </c>
      <c r="G26" s="50">
        <f t="shared" si="6"/>
        <v>43445.020000000004</v>
      </c>
      <c r="H26" s="50">
        <f t="shared" si="6"/>
        <v>62647.33</v>
      </c>
      <c r="I26" s="13">
        <f t="shared" si="0"/>
        <v>392112.50000000006</v>
      </c>
      <c r="J26" s="18"/>
      <c r="K26" s="18"/>
      <c r="L26" s="7"/>
    </row>
    <row r="27" spans="1:12" ht="12.75">
      <c r="A27" s="14">
        <v>45047</v>
      </c>
      <c r="B27" s="50">
        <f>44085.1-2.67</f>
        <v>44082.43</v>
      </c>
      <c r="C27" s="37">
        <f>50658.05-4.95</f>
        <v>50653.100000000006</v>
      </c>
      <c r="D27" s="37">
        <f>53456.52+555.75-1.73</f>
        <v>54010.53999999999</v>
      </c>
      <c r="E27" s="37">
        <f>47853.85+624.66-0.81</f>
        <v>48477.700000000004</v>
      </c>
      <c r="F27" s="37">
        <f>40853.72-133.01</f>
        <v>40720.71</v>
      </c>
      <c r="G27" s="37">
        <f>56479.79-257.83</f>
        <v>56221.96</v>
      </c>
      <c r="H27" s="37">
        <f>62112.97+668.62-0.8</f>
        <v>62780.79</v>
      </c>
      <c r="I27" s="13">
        <f t="shared" si="0"/>
        <v>356947.23</v>
      </c>
      <c r="J27" s="18"/>
      <c r="K27" s="18"/>
      <c r="L27" s="7"/>
    </row>
    <row r="28" spans="1:12" ht="25.5">
      <c r="A28" s="43" t="s">
        <v>41</v>
      </c>
      <c r="B28" s="51">
        <v>43186.05</v>
      </c>
      <c r="C28" s="52">
        <v>4572.72</v>
      </c>
      <c r="D28" s="52">
        <v>4783.2</v>
      </c>
      <c r="E28" s="52">
        <v>10925.98</v>
      </c>
      <c r="F28" s="52">
        <v>1612.93</v>
      </c>
      <c r="G28" s="52">
        <v>0</v>
      </c>
      <c r="H28" s="52">
        <v>0</v>
      </c>
      <c r="I28" s="13">
        <f t="shared" si="0"/>
        <v>65080.88</v>
      </c>
      <c r="J28" s="55"/>
      <c r="K28" s="55"/>
      <c r="L28" s="7"/>
    </row>
    <row r="29" spans="1:12" ht="25.5">
      <c r="A29" s="47" t="s">
        <v>42</v>
      </c>
      <c r="B29" s="51">
        <v>0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13">
        <f t="shared" si="0"/>
        <v>0</v>
      </c>
      <c r="J29" s="55"/>
      <c r="K29" s="55"/>
      <c r="L29" s="7"/>
    </row>
    <row r="30" spans="1:12" ht="12.75">
      <c r="A30" s="48" t="s">
        <v>43</v>
      </c>
      <c r="B30" s="50">
        <f aca="true" t="shared" si="7" ref="B30:H30">SUM(B27:B29)</f>
        <v>87268.48000000001</v>
      </c>
      <c r="C30" s="50">
        <f t="shared" si="7"/>
        <v>55225.82000000001</v>
      </c>
      <c r="D30" s="50">
        <f t="shared" si="7"/>
        <v>58793.73999999999</v>
      </c>
      <c r="E30" s="50">
        <f t="shared" si="7"/>
        <v>59403.68000000001</v>
      </c>
      <c r="F30" s="50">
        <f t="shared" si="7"/>
        <v>42333.64</v>
      </c>
      <c r="G30" s="50">
        <f t="shared" si="7"/>
        <v>56221.96</v>
      </c>
      <c r="H30" s="50">
        <f t="shared" si="7"/>
        <v>62780.79</v>
      </c>
      <c r="I30" s="13">
        <f t="shared" si="0"/>
        <v>422028.11000000004</v>
      </c>
      <c r="J30" s="18"/>
      <c r="K30" s="18"/>
      <c r="L30" s="7"/>
    </row>
    <row r="31" spans="1:12" ht="12.75">
      <c r="A31" s="14">
        <v>45078</v>
      </c>
      <c r="B31" s="56">
        <f>44085.68+5.04-3.08</f>
        <v>44087.64</v>
      </c>
      <c r="C31" s="31">
        <f>50658.72+2455.94+5.69-13.12</f>
        <v>53107.23</v>
      </c>
      <c r="D31" s="31">
        <f>53457.24+3434.04+6.03-104.72</f>
        <v>56792.59</v>
      </c>
      <c r="E31" s="31">
        <f>47854.49+2783.74+5.44-2.96</f>
        <v>50640.71</v>
      </c>
      <c r="F31" s="31">
        <f>40854.27+2050.23+4.65-2054.71</f>
        <v>40854.44</v>
      </c>
      <c r="G31" s="31">
        <f>56480.54-33.9-3499.09</f>
        <v>52947.55</v>
      </c>
      <c r="H31" s="31">
        <f>62113.79+4009.46+7.05-0.55</f>
        <v>66129.75</v>
      </c>
      <c r="I31" s="13">
        <f t="shared" si="0"/>
        <v>364559.91</v>
      </c>
      <c r="J31" s="18"/>
      <c r="K31" s="18"/>
      <c r="L31" s="7"/>
    </row>
    <row r="32" spans="1:12" ht="25.5">
      <c r="A32" s="43" t="s">
        <v>44</v>
      </c>
      <c r="B32" s="57">
        <v>39635.59</v>
      </c>
      <c r="C32" s="58">
        <v>4911.48</v>
      </c>
      <c r="D32" s="58">
        <v>3414.91</v>
      </c>
      <c r="E32" s="58">
        <v>9061.02</v>
      </c>
      <c r="F32" s="58">
        <v>0</v>
      </c>
      <c r="G32" s="58">
        <v>0</v>
      </c>
      <c r="H32" s="58">
        <v>0</v>
      </c>
      <c r="I32" s="13">
        <f t="shared" si="0"/>
        <v>57023</v>
      </c>
      <c r="J32" s="55"/>
      <c r="K32" s="55"/>
      <c r="L32" s="7"/>
    </row>
    <row r="33" spans="1:12" ht="25.5">
      <c r="A33" s="47" t="s">
        <v>45</v>
      </c>
      <c r="B33" s="57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13">
        <f t="shared" si="0"/>
        <v>0</v>
      </c>
      <c r="J33" s="55"/>
      <c r="K33" s="55"/>
      <c r="L33" s="7"/>
    </row>
    <row r="34" spans="1:12" ht="25.5">
      <c r="A34" s="60" t="s">
        <v>46</v>
      </c>
      <c r="B34" s="56">
        <f aca="true" t="shared" si="8" ref="B34:H34">SUM(B31:B33)</f>
        <v>83723.23</v>
      </c>
      <c r="C34" s="56">
        <f t="shared" si="8"/>
        <v>58018.71000000001</v>
      </c>
      <c r="D34" s="56">
        <f t="shared" si="8"/>
        <v>60207.5</v>
      </c>
      <c r="E34" s="56">
        <f t="shared" si="8"/>
        <v>59701.729999999996</v>
      </c>
      <c r="F34" s="56">
        <f t="shared" si="8"/>
        <v>40854.44</v>
      </c>
      <c r="G34" s="56">
        <f t="shared" si="8"/>
        <v>52947.55</v>
      </c>
      <c r="H34" s="56">
        <f t="shared" si="8"/>
        <v>66129.75</v>
      </c>
      <c r="I34" s="13">
        <f t="shared" si="0"/>
        <v>421582.91</v>
      </c>
      <c r="J34" s="61"/>
      <c r="K34" s="61"/>
      <c r="L34" s="7"/>
    </row>
    <row r="35" spans="1:12" ht="12.75">
      <c r="A35" s="15" t="s">
        <v>47</v>
      </c>
      <c r="B35" s="34">
        <f aca="true" t="shared" si="9" ref="B35:H37">B23+B27+B31</f>
        <v>132532.56</v>
      </c>
      <c r="C35" s="34">
        <f t="shared" si="9"/>
        <v>154699.5</v>
      </c>
      <c r="D35" s="34">
        <f t="shared" si="9"/>
        <v>163872.47</v>
      </c>
      <c r="E35" s="34">
        <f t="shared" si="9"/>
        <v>147274.06</v>
      </c>
      <c r="F35" s="34">
        <f t="shared" si="9"/>
        <v>122910.81</v>
      </c>
      <c r="G35" s="34">
        <f t="shared" si="9"/>
        <v>152614.53000000003</v>
      </c>
      <c r="H35" s="34">
        <f t="shared" si="9"/>
        <v>191557.87</v>
      </c>
      <c r="I35" s="13">
        <f t="shared" si="0"/>
        <v>1065461.8000000003</v>
      </c>
      <c r="J35" s="18"/>
      <c r="K35" s="18"/>
      <c r="L35" s="7"/>
    </row>
    <row r="36" spans="1:12" ht="25.5">
      <c r="A36" s="49" t="s">
        <v>48</v>
      </c>
      <c r="B36" s="34">
        <f t="shared" si="9"/>
        <v>110148.09</v>
      </c>
      <c r="C36" s="34">
        <f t="shared" si="9"/>
        <v>13481.55</v>
      </c>
      <c r="D36" s="34">
        <f t="shared" si="9"/>
        <v>13835.439999999999</v>
      </c>
      <c r="E36" s="34">
        <f t="shared" si="9"/>
        <v>28122.25</v>
      </c>
      <c r="F36" s="34">
        <f t="shared" si="9"/>
        <v>4674.39</v>
      </c>
      <c r="G36" s="34">
        <f t="shared" si="9"/>
        <v>0</v>
      </c>
      <c r="H36" s="34">
        <f t="shared" si="9"/>
        <v>0</v>
      </c>
      <c r="I36" s="13">
        <f t="shared" si="0"/>
        <v>170261.72</v>
      </c>
      <c r="J36" s="4"/>
      <c r="K36" s="4"/>
      <c r="L36" s="7"/>
    </row>
    <row r="37" spans="1:12" ht="25.5">
      <c r="A37" s="49" t="s">
        <v>49</v>
      </c>
      <c r="B37" s="34">
        <f t="shared" si="9"/>
        <v>0</v>
      </c>
      <c r="C37" s="34">
        <f t="shared" si="9"/>
        <v>0</v>
      </c>
      <c r="D37" s="34">
        <f t="shared" si="9"/>
        <v>0</v>
      </c>
      <c r="E37" s="34">
        <f t="shared" si="9"/>
        <v>0</v>
      </c>
      <c r="F37" s="34">
        <f t="shared" si="9"/>
        <v>0</v>
      </c>
      <c r="G37" s="34">
        <f t="shared" si="9"/>
        <v>0</v>
      </c>
      <c r="H37" s="34">
        <f t="shared" si="9"/>
        <v>0</v>
      </c>
      <c r="I37" s="13">
        <f t="shared" si="0"/>
        <v>0</v>
      </c>
      <c r="J37" s="4"/>
      <c r="K37" s="4"/>
      <c r="L37" s="7"/>
    </row>
    <row r="38" spans="1:12" ht="38.25">
      <c r="A38" s="49" t="s">
        <v>85</v>
      </c>
      <c r="B38" s="34">
        <f>B35+B36+B37</f>
        <v>242680.65</v>
      </c>
      <c r="C38" s="34">
        <f aca="true" t="shared" si="10" ref="C38:I38">C35+C36+C37</f>
        <v>168181.05</v>
      </c>
      <c r="D38" s="34">
        <f t="shared" si="10"/>
        <v>177707.91</v>
      </c>
      <c r="E38" s="34">
        <f t="shared" si="10"/>
        <v>175396.31</v>
      </c>
      <c r="F38" s="34">
        <f t="shared" si="10"/>
        <v>127585.2</v>
      </c>
      <c r="G38" s="34">
        <f t="shared" si="10"/>
        <v>152614.53000000003</v>
      </c>
      <c r="H38" s="34">
        <f t="shared" si="10"/>
        <v>191557.87</v>
      </c>
      <c r="I38" s="34">
        <f t="shared" si="10"/>
        <v>1235723.5200000003</v>
      </c>
      <c r="J38" s="18"/>
      <c r="K38" s="18"/>
      <c r="L38" s="7"/>
    </row>
    <row r="39" spans="1:12" ht="12.75">
      <c r="A39" s="14">
        <v>45108</v>
      </c>
      <c r="B39" s="37">
        <f>48000+505.54-5.59</f>
        <v>48499.950000000004</v>
      </c>
      <c r="C39" s="37">
        <f>60000+361.19-9769.16</f>
        <v>50592.03</v>
      </c>
      <c r="D39" s="37">
        <f>63000+379.96-8.76</f>
        <v>63371.2</v>
      </c>
      <c r="E39" s="37">
        <f>60000+405.12-96.74</f>
        <v>60308.380000000005</v>
      </c>
      <c r="F39" s="37">
        <f>47000-39.89</f>
        <v>46960.11</v>
      </c>
      <c r="G39" s="31">
        <f>66000-15857.24</f>
        <v>50142.76</v>
      </c>
      <c r="H39" s="37">
        <f>69000+435.76+6943-30.32</f>
        <v>76348.43999999999</v>
      </c>
      <c r="I39" s="13">
        <f t="shared" si="0"/>
        <v>396222.87</v>
      </c>
      <c r="J39" s="18"/>
      <c r="K39" s="18"/>
      <c r="L39" s="7"/>
    </row>
    <row r="40" spans="1:12" ht="25.5">
      <c r="A40" s="47" t="s">
        <v>50</v>
      </c>
      <c r="B40" s="90">
        <v>0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13">
        <f t="shared" si="0"/>
        <v>0</v>
      </c>
      <c r="J40" s="54"/>
      <c r="K40" s="54"/>
      <c r="L40" s="7"/>
    </row>
    <row r="41" spans="1:12" ht="25.5">
      <c r="A41" s="47" t="s">
        <v>51</v>
      </c>
      <c r="B41" s="52">
        <v>44893.07</v>
      </c>
      <c r="C41" s="52">
        <v>0</v>
      </c>
      <c r="D41" s="52">
        <v>3643.37</v>
      </c>
      <c r="E41" s="52">
        <v>9686.02</v>
      </c>
      <c r="F41" s="52">
        <v>0</v>
      </c>
      <c r="G41" s="52">
        <v>0</v>
      </c>
      <c r="H41" s="52">
        <v>0</v>
      </c>
      <c r="I41" s="13">
        <f t="shared" si="0"/>
        <v>58222.46000000001</v>
      </c>
      <c r="J41" s="54"/>
      <c r="K41" s="54"/>
      <c r="L41" s="7"/>
    </row>
    <row r="42" spans="1:12" ht="25.5">
      <c r="A42" s="60" t="s">
        <v>52</v>
      </c>
      <c r="B42" s="37">
        <f aca="true" t="shared" si="11" ref="B42:G42">B39+B40+B41</f>
        <v>93393.02</v>
      </c>
      <c r="C42" s="37">
        <f t="shared" si="11"/>
        <v>50592.03</v>
      </c>
      <c r="D42" s="37">
        <f t="shared" si="11"/>
        <v>67014.56999999999</v>
      </c>
      <c r="E42" s="37">
        <f t="shared" si="11"/>
        <v>69994.40000000001</v>
      </c>
      <c r="F42" s="37">
        <f t="shared" si="11"/>
        <v>46960.11</v>
      </c>
      <c r="G42" s="37">
        <f t="shared" si="11"/>
        <v>50142.76</v>
      </c>
      <c r="H42" s="37">
        <f>H39+H40+H41</f>
        <v>76348.43999999999</v>
      </c>
      <c r="I42" s="13">
        <f t="shared" si="0"/>
        <v>454445.33</v>
      </c>
      <c r="J42" s="62"/>
      <c r="K42" s="62"/>
      <c r="L42" s="7"/>
    </row>
    <row r="43" spans="1:12" ht="12.75">
      <c r="A43" s="14">
        <v>45139</v>
      </c>
      <c r="B43" s="37">
        <f>48000+2198.25-0.3</f>
        <v>50197.95</v>
      </c>
      <c r="C43" s="37">
        <f>60000+1428.16-5956.27</f>
        <v>55471.89</v>
      </c>
      <c r="D43" s="37">
        <f>63000-85.66</f>
        <v>62914.34</v>
      </c>
      <c r="E43" s="37">
        <f>42000+1578.43-0.11</f>
        <v>43578.32</v>
      </c>
      <c r="F43" s="37">
        <f>47000-0.97</f>
        <v>46999.03</v>
      </c>
      <c r="G43" s="31">
        <f>66000-10810.94</f>
        <v>55189.06</v>
      </c>
      <c r="H43" s="37">
        <f>69000-6943+1706.16-0.36</f>
        <v>63762.8</v>
      </c>
      <c r="I43" s="13">
        <f t="shared" si="0"/>
        <v>378113.38999999996</v>
      </c>
      <c r="J43" s="18"/>
      <c r="K43" s="18"/>
      <c r="L43" s="7"/>
    </row>
    <row r="44" spans="1:12" ht="25.5">
      <c r="A44" s="47" t="s">
        <v>53</v>
      </c>
      <c r="B44" s="52">
        <v>0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13">
        <f t="shared" si="0"/>
        <v>0</v>
      </c>
      <c r="J44" s="55"/>
      <c r="K44" s="55"/>
      <c r="L44" s="7"/>
    </row>
    <row r="45" spans="1:12" ht="25.5">
      <c r="A45" s="47" t="s">
        <v>54</v>
      </c>
      <c r="B45" s="52">
        <v>37600.18</v>
      </c>
      <c r="C45" s="52">
        <v>0</v>
      </c>
      <c r="D45" s="52">
        <v>4818.1</v>
      </c>
      <c r="E45" s="52">
        <v>8402.31</v>
      </c>
      <c r="F45" s="52">
        <v>0</v>
      </c>
      <c r="G45" s="52">
        <v>0</v>
      </c>
      <c r="H45" s="52">
        <v>0</v>
      </c>
      <c r="I45" s="13">
        <f t="shared" si="0"/>
        <v>50820.59</v>
      </c>
      <c r="J45" s="55"/>
      <c r="K45" s="55"/>
      <c r="L45" s="7"/>
    </row>
    <row r="46" spans="1:12" ht="25.5">
      <c r="A46" s="60" t="s">
        <v>55</v>
      </c>
      <c r="B46" s="37">
        <f aca="true" t="shared" si="12" ref="B46:G46">SUM(B43:B45)</f>
        <v>87798.13</v>
      </c>
      <c r="C46" s="37">
        <f t="shared" si="12"/>
        <v>55471.89</v>
      </c>
      <c r="D46" s="37">
        <f t="shared" si="12"/>
        <v>67732.44</v>
      </c>
      <c r="E46" s="37">
        <f t="shared" si="12"/>
        <v>51980.63</v>
      </c>
      <c r="F46" s="37">
        <f t="shared" si="12"/>
        <v>46999.03</v>
      </c>
      <c r="G46" s="37">
        <f t="shared" si="12"/>
        <v>55189.06</v>
      </c>
      <c r="H46" s="37">
        <f>SUM(H43:H45)</f>
        <v>63762.8</v>
      </c>
      <c r="I46" s="13">
        <f t="shared" si="0"/>
        <v>428933.98</v>
      </c>
      <c r="J46" s="18"/>
      <c r="K46" s="18"/>
      <c r="L46" s="7"/>
    </row>
    <row r="47" spans="1:12" ht="12.75">
      <c r="A47" s="14">
        <v>45170</v>
      </c>
      <c r="B47" s="37">
        <f>54000+5.59+7422.21+409.13-32.53</f>
        <v>61804.399999999994</v>
      </c>
      <c r="C47" s="37">
        <f>60000+497.1-1156.23</f>
        <v>59340.869999999995</v>
      </c>
      <c r="D47" s="37">
        <f>63000+8.76-2878.53+5101.93-43.73</f>
        <v>65188.43</v>
      </c>
      <c r="E47" s="37">
        <f>66000+96.74+5365.88+460.02-2.99</f>
        <v>71919.65000000001</v>
      </c>
      <c r="F47" s="37">
        <v>53120.36</v>
      </c>
      <c r="G47" s="31">
        <f>66000+547.48-12986.16</f>
        <v>53561.31999999999</v>
      </c>
      <c r="H47" s="37">
        <f>75000+30.32+5808.66+584.87-4.5</f>
        <v>81419.35</v>
      </c>
      <c r="I47" s="13">
        <f t="shared" si="0"/>
        <v>446354.38</v>
      </c>
      <c r="J47" s="18"/>
      <c r="K47" s="18"/>
      <c r="L47" s="7"/>
    </row>
    <row r="48" spans="1:12" ht="25.5">
      <c r="A48" s="47" t="s">
        <v>56</v>
      </c>
      <c r="B48" s="52">
        <v>0</v>
      </c>
      <c r="C48" s="52">
        <v>0</v>
      </c>
      <c r="D48" s="52">
        <v>0</v>
      </c>
      <c r="E48" s="52">
        <v>0</v>
      </c>
      <c r="F48" s="52">
        <v>125.18</v>
      </c>
      <c r="G48" s="52">
        <v>0</v>
      </c>
      <c r="H48" s="52">
        <v>0</v>
      </c>
      <c r="I48" s="13">
        <f t="shared" si="0"/>
        <v>125.18</v>
      </c>
      <c r="J48" s="54"/>
      <c r="K48" s="54"/>
      <c r="L48" s="7"/>
    </row>
    <row r="49" spans="1:12" ht="25.5">
      <c r="A49" s="47" t="s">
        <v>57</v>
      </c>
      <c r="B49" s="52">
        <v>37759.34</v>
      </c>
      <c r="C49" s="52">
        <v>0</v>
      </c>
      <c r="D49" s="53">
        <v>3323.02</v>
      </c>
      <c r="E49" s="52">
        <v>5092.19</v>
      </c>
      <c r="F49" s="52">
        <v>0</v>
      </c>
      <c r="G49" s="52">
        <v>0</v>
      </c>
      <c r="H49" s="53">
        <v>0</v>
      </c>
      <c r="I49" s="13">
        <f t="shared" si="0"/>
        <v>46174.549999999996</v>
      </c>
      <c r="J49" s="54"/>
      <c r="K49" s="54"/>
      <c r="L49" s="7"/>
    </row>
    <row r="50" spans="1:12" ht="25.5">
      <c r="A50" s="60" t="s">
        <v>58</v>
      </c>
      <c r="B50" s="37">
        <f aca="true" t="shared" si="13" ref="B50:H50">B47+B48+B49</f>
        <v>99563.73999999999</v>
      </c>
      <c r="C50" s="37">
        <f t="shared" si="13"/>
        <v>59340.869999999995</v>
      </c>
      <c r="D50" s="37">
        <f t="shared" si="13"/>
        <v>68511.45</v>
      </c>
      <c r="E50" s="37">
        <f t="shared" si="13"/>
        <v>77011.84000000001</v>
      </c>
      <c r="F50" s="37">
        <f t="shared" si="13"/>
        <v>53245.54</v>
      </c>
      <c r="G50" s="37">
        <f t="shared" si="13"/>
        <v>53561.31999999999</v>
      </c>
      <c r="H50" s="37">
        <f t="shared" si="13"/>
        <v>81419.35</v>
      </c>
      <c r="I50" s="13">
        <f t="shared" si="0"/>
        <v>492654.11</v>
      </c>
      <c r="J50" s="18"/>
      <c r="K50" s="18"/>
      <c r="L50" s="7"/>
    </row>
    <row r="51" spans="1:12" ht="12.75">
      <c r="A51" s="15" t="s">
        <v>59</v>
      </c>
      <c r="B51" s="34">
        <f aca="true" t="shared" si="14" ref="B51:G51">B39+B43+B47</f>
        <v>160502.3</v>
      </c>
      <c r="C51" s="34">
        <f t="shared" si="14"/>
        <v>165404.78999999998</v>
      </c>
      <c r="D51" s="34">
        <f t="shared" si="14"/>
        <v>191473.97</v>
      </c>
      <c r="E51" s="34">
        <f t="shared" si="14"/>
        <v>175806.35000000003</v>
      </c>
      <c r="F51" s="34">
        <f t="shared" si="14"/>
        <v>147079.5</v>
      </c>
      <c r="G51" s="34">
        <f t="shared" si="14"/>
        <v>158893.14</v>
      </c>
      <c r="H51" s="34">
        <f>H39+H43+H47</f>
        <v>221530.59</v>
      </c>
      <c r="I51" s="13">
        <f t="shared" si="0"/>
        <v>1220690.64</v>
      </c>
      <c r="J51" s="18"/>
      <c r="K51" s="18"/>
      <c r="L51" s="7"/>
    </row>
    <row r="52" spans="1:12" ht="25.5">
      <c r="A52" s="49" t="s">
        <v>60</v>
      </c>
      <c r="B52" s="34">
        <f aca="true" t="shared" si="15" ref="B52:G52">B41+B45+B49</f>
        <v>120252.59</v>
      </c>
      <c r="C52" s="34">
        <f t="shared" si="15"/>
        <v>0</v>
      </c>
      <c r="D52" s="34">
        <f t="shared" si="15"/>
        <v>11784.490000000002</v>
      </c>
      <c r="E52" s="34">
        <f t="shared" si="15"/>
        <v>23180.52</v>
      </c>
      <c r="F52" s="34">
        <f t="shared" si="15"/>
        <v>0</v>
      </c>
      <c r="G52" s="34">
        <f t="shared" si="15"/>
        <v>0</v>
      </c>
      <c r="H52" s="34">
        <f>H41+H45+H49</f>
        <v>0</v>
      </c>
      <c r="I52" s="13">
        <f t="shared" si="0"/>
        <v>155217.59999999998</v>
      </c>
      <c r="J52" s="18"/>
      <c r="K52" s="18"/>
      <c r="L52" s="7"/>
    </row>
    <row r="53" spans="1:12" ht="25.5">
      <c r="A53" s="49" t="s">
        <v>61</v>
      </c>
      <c r="B53" s="34">
        <f aca="true" t="shared" si="16" ref="B53:G53">B40+B44+B48</f>
        <v>0</v>
      </c>
      <c r="C53" s="34">
        <f t="shared" si="16"/>
        <v>0</v>
      </c>
      <c r="D53" s="34">
        <f t="shared" si="16"/>
        <v>0</v>
      </c>
      <c r="E53" s="34">
        <f t="shared" si="16"/>
        <v>0</v>
      </c>
      <c r="F53" s="34">
        <f t="shared" si="16"/>
        <v>125.18</v>
      </c>
      <c r="G53" s="34">
        <f t="shared" si="16"/>
        <v>0</v>
      </c>
      <c r="H53" s="34">
        <f>H40+H44+H48</f>
        <v>0</v>
      </c>
      <c r="I53" s="13">
        <f t="shared" si="0"/>
        <v>125.18</v>
      </c>
      <c r="J53" s="18"/>
      <c r="K53" s="18"/>
      <c r="L53" s="7"/>
    </row>
    <row r="54" spans="1:12" ht="38.25">
      <c r="A54" s="49" t="s">
        <v>62</v>
      </c>
      <c r="B54" s="34">
        <f aca="true" t="shared" si="17" ref="B54:H54">B51+B52+B53</f>
        <v>280754.89</v>
      </c>
      <c r="C54" s="34">
        <f t="shared" si="17"/>
        <v>165404.78999999998</v>
      </c>
      <c r="D54" s="34">
        <f t="shared" si="17"/>
        <v>203258.46</v>
      </c>
      <c r="E54" s="34">
        <f t="shared" si="17"/>
        <v>198986.87000000002</v>
      </c>
      <c r="F54" s="34">
        <f t="shared" si="17"/>
        <v>147204.68</v>
      </c>
      <c r="G54" s="34">
        <f t="shared" si="17"/>
        <v>158893.14</v>
      </c>
      <c r="H54" s="34">
        <f t="shared" si="17"/>
        <v>221530.59</v>
      </c>
      <c r="I54" s="13">
        <f t="shared" si="0"/>
        <v>1376033.4200000002</v>
      </c>
      <c r="J54" s="4"/>
      <c r="K54" s="4"/>
      <c r="L54" s="7"/>
    </row>
    <row r="55" spans="1:12" ht="12.75">
      <c r="A55" s="14">
        <v>45200</v>
      </c>
      <c r="B55" s="31">
        <f>50000+132.06+55.97+5312.5+0.3</f>
        <v>55500.83</v>
      </c>
      <c r="C55" s="31">
        <f>60000-939.6+65.84-146</f>
        <v>58980.24</v>
      </c>
      <c r="D55" s="31">
        <f>63000+169.23+69.52+3708.96+85.66-552.57</f>
        <v>66480.8</v>
      </c>
      <c r="E55" s="37">
        <f>56000+148.85+62.24+3751.56+0.11-1.23</f>
        <v>59961.52999999999</v>
      </c>
      <c r="F55" s="31">
        <f>46000+123.34+51.47+2759.86+0.97+4893-195.96</f>
        <v>53632.68</v>
      </c>
      <c r="G55" s="31">
        <f>66000+176.65-384.18-6252.41</f>
        <v>59540.06</v>
      </c>
      <c r="H55" s="37">
        <f>71000+189.47+79.14+4119.23+0.36-1.63</f>
        <v>75386.56999999999</v>
      </c>
      <c r="I55" s="13">
        <f t="shared" si="0"/>
        <v>429482.71</v>
      </c>
      <c r="J55" s="18"/>
      <c r="K55" s="18"/>
      <c r="L55" s="7"/>
    </row>
    <row r="56" spans="1:12" ht="25.5">
      <c r="A56" s="47" t="s">
        <v>63</v>
      </c>
      <c r="B56" s="58">
        <v>199.59</v>
      </c>
      <c r="C56" s="58">
        <v>0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13">
        <f t="shared" si="0"/>
        <v>199.59</v>
      </c>
      <c r="J56" s="55"/>
      <c r="K56" s="55"/>
      <c r="L56" s="7"/>
    </row>
    <row r="57" spans="1:12" ht="25.5">
      <c r="A57" s="47" t="s">
        <v>64</v>
      </c>
      <c r="B57" s="58">
        <v>38334.03</v>
      </c>
      <c r="C57" s="58">
        <v>4797.53</v>
      </c>
      <c r="D57" s="58">
        <v>6983.77</v>
      </c>
      <c r="E57" s="58">
        <v>9222.93</v>
      </c>
      <c r="F57" s="58">
        <v>958.99</v>
      </c>
      <c r="G57" s="58">
        <v>0</v>
      </c>
      <c r="H57" s="58">
        <v>0</v>
      </c>
      <c r="I57" s="13">
        <f t="shared" si="0"/>
        <v>60297.25</v>
      </c>
      <c r="J57" s="55"/>
      <c r="K57" s="55"/>
      <c r="L57" s="7"/>
    </row>
    <row r="58" spans="1:12" ht="12.75">
      <c r="A58" s="60" t="s">
        <v>65</v>
      </c>
      <c r="B58" s="31">
        <f aca="true" t="shared" si="18" ref="B58:G58">SUM(B55:B57)</f>
        <v>94034.45</v>
      </c>
      <c r="C58" s="31">
        <f t="shared" si="18"/>
        <v>63777.77</v>
      </c>
      <c r="D58" s="31">
        <f t="shared" si="18"/>
        <v>73464.57</v>
      </c>
      <c r="E58" s="31">
        <f t="shared" si="18"/>
        <v>69184.45999999999</v>
      </c>
      <c r="F58" s="31">
        <f t="shared" si="18"/>
        <v>54591.67</v>
      </c>
      <c r="G58" s="31">
        <f t="shared" si="18"/>
        <v>59540.06</v>
      </c>
      <c r="H58" s="31">
        <f>SUM(H55:H57)</f>
        <v>75386.56999999999</v>
      </c>
      <c r="I58" s="13">
        <f t="shared" si="0"/>
        <v>489979.55</v>
      </c>
      <c r="J58" s="18"/>
      <c r="K58" s="18"/>
      <c r="L58" s="7"/>
    </row>
    <row r="59" spans="1:12" ht="12.75">
      <c r="A59" s="38">
        <v>45231</v>
      </c>
      <c r="B59" s="11">
        <f>29000+32.53+2990.94+15803.93-0.57</f>
        <v>47826.829999999994</v>
      </c>
      <c r="C59" s="11">
        <f>35500+1156.23+1878.38+19399.27-1994.5</f>
        <v>55939.380000000005</v>
      </c>
      <c r="D59" s="11">
        <f>38000+43.73+2084.34+20945.63-399.34</f>
        <v>60674.360000000015</v>
      </c>
      <c r="E59" s="11">
        <f>33000+2.99+2137.68+17710.89-2.8</f>
        <v>52848.759999999995</v>
      </c>
      <c r="F59" s="11">
        <f>27000+1559.61-4893+14580.61-21.21</f>
        <v>38226.01</v>
      </c>
      <c r="G59" s="11">
        <f>40000+20896.33-4.48</f>
        <v>60891.85</v>
      </c>
      <c r="H59" s="11">
        <f>43000+4.5+2335.21+22085.84+6742-1.81</f>
        <v>74165.74</v>
      </c>
      <c r="I59" s="13">
        <f t="shared" si="0"/>
        <v>390572.93</v>
      </c>
      <c r="J59" s="18"/>
      <c r="K59" s="18"/>
      <c r="L59" s="7"/>
    </row>
    <row r="60" spans="1:12" ht="25.5">
      <c r="A60" s="47" t="s">
        <v>66</v>
      </c>
      <c r="B60" s="59">
        <v>567.22</v>
      </c>
      <c r="C60" s="59">
        <v>777.41</v>
      </c>
      <c r="D60" s="59">
        <v>502.33</v>
      </c>
      <c r="E60" s="59">
        <v>0</v>
      </c>
      <c r="F60" s="59">
        <v>1009.46</v>
      </c>
      <c r="G60" s="59">
        <v>0</v>
      </c>
      <c r="H60" s="59">
        <v>0</v>
      </c>
      <c r="I60" s="13">
        <f t="shared" si="0"/>
        <v>2856.42</v>
      </c>
      <c r="J60" s="55"/>
      <c r="K60" s="55"/>
      <c r="L60" s="7"/>
    </row>
    <row r="61" spans="1:12" ht="25.5">
      <c r="A61" s="47" t="s">
        <v>67</v>
      </c>
      <c r="B61" s="59">
        <v>40407.64</v>
      </c>
      <c r="C61" s="59">
        <v>5663.36</v>
      </c>
      <c r="D61" s="59">
        <v>9124.32</v>
      </c>
      <c r="E61" s="59">
        <v>5383.11</v>
      </c>
      <c r="F61" s="59">
        <v>795.42</v>
      </c>
      <c r="G61" s="59">
        <v>0</v>
      </c>
      <c r="H61" s="59">
        <v>0</v>
      </c>
      <c r="I61" s="13">
        <f t="shared" si="0"/>
        <v>61373.85</v>
      </c>
      <c r="J61" s="55"/>
      <c r="K61" s="55"/>
      <c r="L61" s="7"/>
    </row>
    <row r="62" spans="1:12" ht="12.75">
      <c r="A62" s="60" t="s">
        <v>68</v>
      </c>
      <c r="B62" s="11">
        <f aca="true" t="shared" si="19" ref="B62:G62">SUM(B59:B61)</f>
        <v>88801.69</v>
      </c>
      <c r="C62" s="11">
        <f t="shared" si="19"/>
        <v>62380.15000000001</v>
      </c>
      <c r="D62" s="11">
        <f t="shared" si="19"/>
        <v>70301.01000000001</v>
      </c>
      <c r="E62" s="11">
        <f t="shared" si="19"/>
        <v>58231.869999999995</v>
      </c>
      <c r="F62" s="11">
        <f t="shared" si="19"/>
        <v>40030.89</v>
      </c>
      <c r="G62" s="11">
        <f t="shared" si="19"/>
        <v>60891.85</v>
      </c>
      <c r="H62" s="11">
        <f>SUM(H59:H61)</f>
        <v>74165.74</v>
      </c>
      <c r="I62" s="13">
        <f t="shared" si="0"/>
        <v>454803.2</v>
      </c>
      <c r="J62" s="18"/>
      <c r="K62" s="18"/>
      <c r="L62" s="7"/>
    </row>
    <row r="63" spans="1:12" ht="12.75">
      <c r="A63" s="14">
        <v>45261</v>
      </c>
      <c r="B63" s="31">
        <f>18825.97-340.28+899.42+33641+224.63+0.57</f>
        <v>53251.31</v>
      </c>
      <c r="C63" s="31">
        <f>23882.63+146+1086.82+41340.99+56.7+1994.5+275.49</f>
        <v>68783.13</v>
      </c>
      <c r="D63" s="31">
        <f>25909.46+552.57+1179.45+44634+61.4+399.34+297.43</f>
        <v>73033.64999999998</v>
      </c>
      <c r="E63" s="31">
        <f>22140.46+1.23+1010.75+38012.01+52.57+2.8+253.29</f>
        <v>61473.11</v>
      </c>
      <c r="F63" s="31">
        <f>15841.96+195.96+825.8+31070.11+42.87+21.21+207.05</f>
        <v>48204.96000000001</v>
      </c>
      <c r="G63" s="31">
        <f>26602.48+44518.66+61.76+4.48+296.64</f>
        <v>71484.01999999999</v>
      </c>
      <c r="H63" s="31">
        <f>29318.12-6742+1.63+1250.17+47057.62+64.98+1.81+313.57</f>
        <v>71265.90000000001</v>
      </c>
      <c r="I63" s="13">
        <f t="shared" si="0"/>
        <v>447496.07999999996</v>
      </c>
      <c r="J63" s="18"/>
      <c r="K63" s="18"/>
      <c r="L63" s="7"/>
    </row>
    <row r="64" spans="1:12" ht="25.5">
      <c r="A64" s="47" t="s">
        <v>69</v>
      </c>
      <c r="B64" s="31"/>
      <c r="C64" s="31"/>
      <c r="D64" s="31"/>
      <c r="E64" s="31"/>
      <c r="F64" s="31"/>
      <c r="G64" s="31"/>
      <c r="H64" s="31"/>
      <c r="I64" s="13">
        <f t="shared" si="0"/>
        <v>0</v>
      </c>
      <c r="J64" s="18"/>
      <c r="K64" s="18"/>
      <c r="L64" s="7"/>
    </row>
    <row r="65" spans="1:12" ht="25.5">
      <c r="A65" s="47" t="s">
        <v>70</v>
      </c>
      <c r="B65" s="31"/>
      <c r="C65" s="31"/>
      <c r="D65" s="31"/>
      <c r="E65" s="31"/>
      <c r="F65" s="31"/>
      <c r="G65" s="31"/>
      <c r="H65" s="31"/>
      <c r="I65" s="13">
        <f t="shared" si="0"/>
        <v>0</v>
      </c>
      <c r="J65" s="18"/>
      <c r="K65" s="18"/>
      <c r="L65" s="7"/>
    </row>
    <row r="66" spans="1:12" ht="12.75">
      <c r="A66" s="60" t="s">
        <v>71</v>
      </c>
      <c r="B66" s="31">
        <f aca="true" t="shared" si="20" ref="B66:G66">SUM(B63:B65)</f>
        <v>53251.31</v>
      </c>
      <c r="C66" s="31">
        <f t="shared" si="20"/>
        <v>68783.13</v>
      </c>
      <c r="D66" s="31">
        <f t="shared" si="20"/>
        <v>73033.64999999998</v>
      </c>
      <c r="E66" s="31">
        <f t="shared" si="20"/>
        <v>61473.11</v>
      </c>
      <c r="F66" s="31">
        <f t="shared" si="20"/>
        <v>48204.96000000001</v>
      </c>
      <c r="G66" s="31">
        <f t="shared" si="20"/>
        <v>71484.01999999999</v>
      </c>
      <c r="H66" s="31">
        <f>SUM(H63:H65)</f>
        <v>71265.90000000001</v>
      </c>
      <c r="I66" s="13">
        <f t="shared" si="0"/>
        <v>447496.07999999996</v>
      </c>
      <c r="J66" s="18"/>
      <c r="K66" s="18"/>
      <c r="L66" s="7"/>
    </row>
    <row r="67" spans="1:12" ht="25.5">
      <c r="A67" s="5" t="s">
        <v>72</v>
      </c>
      <c r="B67" s="34">
        <f aca="true" t="shared" si="21" ref="B67:H67">B55+B59+B63</f>
        <v>156578.97</v>
      </c>
      <c r="C67" s="34">
        <f t="shared" si="21"/>
        <v>183702.75</v>
      </c>
      <c r="D67" s="34">
        <f t="shared" si="21"/>
        <v>200188.81</v>
      </c>
      <c r="E67" s="34">
        <f t="shared" si="21"/>
        <v>174283.39999999997</v>
      </c>
      <c r="F67" s="34">
        <f t="shared" si="21"/>
        <v>140063.65000000002</v>
      </c>
      <c r="G67" s="34">
        <f t="shared" si="21"/>
        <v>191915.93</v>
      </c>
      <c r="H67" s="34">
        <f t="shared" si="21"/>
        <v>220818.21000000002</v>
      </c>
      <c r="I67" s="13">
        <f t="shared" si="0"/>
        <v>1267551.72</v>
      </c>
      <c r="J67" s="18"/>
      <c r="K67" s="18"/>
      <c r="L67" s="7"/>
    </row>
    <row r="68" spans="1:12" ht="25.5">
      <c r="A68" s="49" t="s">
        <v>73</v>
      </c>
      <c r="B68" s="34">
        <f aca="true" t="shared" si="22" ref="B68:G68">B57+B61+B65</f>
        <v>78741.67</v>
      </c>
      <c r="C68" s="34">
        <f t="shared" si="22"/>
        <v>10460.89</v>
      </c>
      <c r="D68" s="34">
        <f t="shared" si="22"/>
        <v>16108.09</v>
      </c>
      <c r="E68" s="34">
        <f t="shared" si="22"/>
        <v>14606.04</v>
      </c>
      <c r="F68" s="34">
        <f t="shared" si="22"/>
        <v>1754.4099999999999</v>
      </c>
      <c r="G68" s="34">
        <f t="shared" si="22"/>
        <v>0</v>
      </c>
      <c r="H68" s="34">
        <f>H57+H61+H65</f>
        <v>0</v>
      </c>
      <c r="I68" s="13">
        <f t="shared" si="0"/>
        <v>121671.1</v>
      </c>
      <c r="J68" s="18"/>
      <c r="K68" s="18"/>
      <c r="L68" s="7"/>
    </row>
    <row r="69" spans="1:12" ht="25.5">
      <c r="A69" s="49" t="s">
        <v>74</v>
      </c>
      <c r="B69" s="34">
        <f aca="true" t="shared" si="23" ref="B69:G69">B56+B60+B64</f>
        <v>766.8100000000001</v>
      </c>
      <c r="C69" s="34">
        <f t="shared" si="23"/>
        <v>777.41</v>
      </c>
      <c r="D69" s="34">
        <f t="shared" si="23"/>
        <v>502.33</v>
      </c>
      <c r="E69" s="34">
        <f t="shared" si="23"/>
        <v>0</v>
      </c>
      <c r="F69" s="34">
        <f t="shared" si="23"/>
        <v>1009.46</v>
      </c>
      <c r="G69" s="34">
        <f t="shared" si="23"/>
        <v>0</v>
      </c>
      <c r="H69" s="34">
        <f>H56+H60+H64</f>
        <v>0</v>
      </c>
      <c r="I69" s="13">
        <f>SUM(B69:H69)</f>
        <v>3056.01</v>
      </c>
      <c r="J69" s="18"/>
      <c r="K69" s="18"/>
      <c r="L69" s="7"/>
    </row>
    <row r="70" spans="1:12" ht="38.25">
      <c r="A70" s="49" t="s">
        <v>75</v>
      </c>
      <c r="B70" s="34">
        <f aca="true" t="shared" si="24" ref="B70:H70">SUM(B67:B69)</f>
        <v>236087.45</v>
      </c>
      <c r="C70" s="34">
        <f t="shared" si="24"/>
        <v>194941.05000000002</v>
      </c>
      <c r="D70" s="34">
        <f t="shared" si="24"/>
        <v>216799.22999999998</v>
      </c>
      <c r="E70" s="34">
        <f t="shared" si="24"/>
        <v>188889.43999999997</v>
      </c>
      <c r="F70" s="34">
        <f t="shared" si="24"/>
        <v>142827.52000000002</v>
      </c>
      <c r="G70" s="34">
        <f t="shared" si="24"/>
        <v>191915.93</v>
      </c>
      <c r="H70" s="34">
        <f t="shared" si="24"/>
        <v>220818.21000000002</v>
      </c>
      <c r="I70" s="13">
        <f>SUM(B70:H70)</f>
        <v>1392278.8299999998</v>
      </c>
      <c r="J70" s="18"/>
      <c r="K70" s="18"/>
      <c r="L70" s="7"/>
    </row>
    <row r="71" spans="1:12" ht="27.75" customHeight="1">
      <c r="A71" s="19" t="s">
        <v>76</v>
      </c>
      <c r="B71" s="34">
        <f aca="true" t="shared" si="25" ref="B71:I72">B19+B35+B51+B67</f>
        <v>584085.35</v>
      </c>
      <c r="C71" s="34">
        <f t="shared" si="25"/>
        <v>652879.56</v>
      </c>
      <c r="D71" s="34">
        <f t="shared" si="25"/>
        <v>704880.5999999999</v>
      </c>
      <c r="E71" s="34">
        <f t="shared" si="25"/>
        <v>654277.02</v>
      </c>
      <c r="F71" s="34">
        <f t="shared" si="25"/>
        <v>532730.49</v>
      </c>
      <c r="G71" s="34">
        <f t="shared" si="25"/>
        <v>656214.6000000001</v>
      </c>
      <c r="H71" s="34">
        <f t="shared" si="25"/>
        <v>833580.6699999999</v>
      </c>
      <c r="I71" s="34">
        <f t="shared" si="25"/>
        <v>4618648.29</v>
      </c>
      <c r="J71" s="4"/>
      <c r="K71" s="4"/>
      <c r="L71" s="7"/>
    </row>
    <row r="72" spans="1:12" ht="40.5" customHeight="1">
      <c r="A72" s="77" t="s">
        <v>77</v>
      </c>
      <c r="B72" s="78">
        <f t="shared" si="25"/>
        <v>436063.35</v>
      </c>
      <c r="C72" s="78">
        <f t="shared" si="25"/>
        <v>33985.32</v>
      </c>
      <c r="D72" s="78">
        <f t="shared" si="25"/>
        <v>58350.350000000006</v>
      </c>
      <c r="E72" s="78">
        <f t="shared" si="25"/>
        <v>95542.31</v>
      </c>
      <c r="F72" s="78">
        <f t="shared" si="25"/>
        <v>17682.75</v>
      </c>
      <c r="G72" s="78">
        <f t="shared" si="25"/>
        <v>0</v>
      </c>
      <c r="H72" s="78">
        <f t="shared" si="25"/>
        <v>0</v>
      </c>
      <c r="I72" s="78">
        <f t="shared" si="25"/>
        <v>641624.08</v>
      </c>
      <c r="J72" s="4"/>
      <c r="K72" s="4"/>
      <c r="L72" s="7"/>
    </row>
    <row r="73" spans="1:12" ht="40.5" customHeight="1">
      <c r="A73" s="77" t="s">
        <v>78</v>
      </c>
      <c r="B73" s="78">
        <f aca="true" t="shared" si="26" ref="B73:I73">B53+B37+B21+B69</f>
        <v>766.8100000000001</v>
      </c>
      <c r="C73" s="78">
        <f t="shared" si="26"/>
        <v>967</v>
      </c>
      <c r="D73" s="78">
        <f t="shared" si="26"/>
        <v>502.33</v>
      </c>
      <c r="E73" s="78">
        <f t="shared" si="26"/>
        <v>0</v>
      </c>
      <c r="F73" s="78">
        <f t="shared" si="26"/>
        <v>1656.8600000000001</v>
      </c>
      <c r="G73" s="78">
        <f t="shared" si="26"/>
        <v>0</v>
      </c>
      <c r="H73" s="78">
        <f t="shared" si="26"/>
        <v>0</v>
      </c>
      <c r="I73" s="78">
        <f t="shared" si="26"/>
        <v>3893</v>
      </c>
      <c r="J73" s="4"/>
      <c r="K73" s="4"/>
      <c r="L73" s="7"/>
    </row>
    <row r="74" spans="1:12" ht="51">
      <c r="A74" s="19" t="s">
        <v>79</v>
      </c>
      <c r="B74" s="34">
        <f>B71+B72+B73</f>
        <v>1020915.51</v>
      </c>
      <c r="C74" s="34">
        <f aca="true" t="shared" si="27" ref="C74:I74">C71+C72+C73</f>
        <v>687831.88</v>
      </c>
      <c r="D74" s="34">
        <f t="shared" si="27"/>
        <v>763733.2799999998</v>
      </c>
      <c r="E74" s="34">
        <f t="shared" si="27"/>
        <v>749819.3300000001</v>
      </c>
      <c r="F74" s="34">
        <f t="shared" si="27"/>
        <v>552070.1</v>
      </c>
      <c r="G74" s="34">
        <f t="shared" si="27"/>
        <v>656214.6000000001</v>
      </c>
      <c r="H74" s="34">
        <f t="shared" si="27"/>
        <v>833580.6699999999</v>
      </c>
      <c r="I74" s="34">
        <f t="shared" si="27"/>
        <v>5264165.37</v>
      </c>
      <c r="J74" s="4"/>
      <c r="K74" s="4"/>
      <c r="L74" s="7"/>
    </row>
    <row r="75" spans="1:12" ht="12.75">
      <c r="A75" s="21"/>
      <c r="B75" s="4"/>
      <c r="C75" s="4"/>
      <c r="D75" s="4"/>
      <c r="E75" s="4"/>
      <c r="F75" s="4"/>
      <c r="G75" s="4"/>
      <c r="H75" s="4"/>
      <c r="I75" s="18"/>
      <c r="J75" s="4"/>
      <c r="K75" s="4"/>
      <c r="L75" s="4"/>
    </row>
    <row r="76" spans="1:12" ht="12.75">
      <c r="A76" s="21"/>
      <c r="B76" s="4"/>
      <c r="C76" s="4"/>
      <c r="D76" s="4"/>
      <c r="E76" s="4"/>
      <c r="F76" s="4"/>
      <c r="G76" s="4"/>
      <c r="H76" s="4"/>
      <c r="I76" s="18"/>
      <c r="J76" s="4"/>
      <c r="K76" s="4"/>
      <c r="L76" s="4"/>
    </row>
    <row r="77" spans="1:11" ht="12.75">
      <c r="A77" s="12"/>
      <c r="B77" s="16"/>
      <c r="I77" s="7"/>
      <c r="J77" s="7"/>
      <c r="K77" s="7"/>
    </row>
    <row r="78" spans="1:11" ht="12.75">
      <c r="A78" s="12"/>
      <c r="B78" s="16"/>
      <c r="I78" s="7"/>
      <c r="J78" s="7"/>
      <c r="K78" s="7"/>
    </row>
    <row r="79" spans="1:11" ht="12.75">
      <c r="A79" s="26" t="s">
        <v>23</v>
      </c>
      <c r="F79" s="7"/>
      <c r="I79" s="7"/>
      <c r="J79" s="7"/>
      <c r="K79" s="7"/>
    </row>
    <row r="80" spans="6:11" ht="12.75">
      <c r="F80" s="26"/>
      <c r="I80" s="7"/>
      <c r="J80" s="7"/>
      <c r="K80" s="7"/>
    </row>
    <row r="81" spans="6:11" ht="12.75">
      <c r="F81" s="7"/>
      <c r="I81" s="7"/>
      <c r="J81" s="7"/>
      <c r="K81" s="7"/>
    </row>
    <row r="82" spans="1:11" ht="66.75" customHeight="1">
      <c r="A82" s="110" t="s">
        <v>0</v>
      </c>
      <c r="B82" s="2" t="s">
        <v>14</v>
      </c>
      <c r="C82" s="83" t="s">
        <v>3</v>
      </c>
      <c r="D82" s="49" t="s">
        <v>1</v>
      </c>
      <c r="E82" s="17"/>
      <c r="F82" s="17"/>
      <c r="G82" s="63"/>
      <c r="H82" s="7"/>
      <c r="I82" s="7"/>
      <c r="J82" s="7"/>
      <c r="K82" s="7"/>
    </row>
    <row r="83" spans="1:11" ht="25.5">
      <c r="A83" s="111"/>
      <c r="B83" s="2" t="s">
        <v>2</v>
      </c>
      <c r="C83" s="2" t="s">
        <v>2</v>
      </c>
      <c r="D83" s="2" t="s">
        <v>2</v>
      </c>
      <c r="E83" s="25"/>
      <c r="F83" s="25"/>
      <c r="G83" s="25"/>
      <c r="H83" s="25"/>
      <c r="I83" s="7"/>
      <c r="J83" s="7"/>
      <c r="K83" s="7"/>
    </row>
    <row r="84" spans="1:11" ht="12.75">
      <c r="A84" s="14">
        <v>44927</v>
      </c>
      <c r="B84" s="101">
        <f>3593-753</f>
        <v>2840</v>
      </c>
      <c r="C84" s="99">
        <v>0</v>
      </c>
      <c r="D84" s="99">
        <f>SUM(B84:C84)</f>
        <v>2840</v>
      </c>
      <c r="E84" s="64"/>
      <c r="F84" s="9"/>
      <c r="G84" s="25"/>
      <c r="H84" s="18"/>
      <c r="I84" s="8"/>
      <c r="J84" s="7"/>
      <c r="K84" s="7"/>
    </row>
    <row r="85" spans="1:11" ht="12.75">
      <c r="A85" s="14">
        <v>44958</v>
      </c>
      <c r="B85" s="101">
        <f>3593.5-233.5</f>
        <v>3360</v>
      </c>
      <c r="C85" s="99">
        <v>0</v>
      </c>
      <c r="D85" s="99">
        <f aca="true" t="shared" si="28" ref="D85:D98">SUM(B85:C85)</f>
        <v>3360</v>
      </c>
      <c r="E85" s="64"/>
      <c r="F85" s="9"/>
      <c r="G85" s="25"/>
      <c r="H85" s="18"/>
      <c r="I85" s="8"/>
      <c r="J85" s="7"/>
      <c r="K85" s="7"/>
    </row>
    <row r="86" spans="1:11" ht="12.75">
      <c r="A86" s="14">
        <v>44986</v>
      </c>
      <c r="B86" s="99">
        <f>3595.77-35.77</f>
        <v>3560</v>
      </c>
      <c r="C86" s="99">
        <v>0</v>
      </c>
      <c r="D86" s="99">
        <f t="shared" si="28"/>
        <v>3560</v>
      </c>
      <c r="E86" s="64"/>
      <c r="F86" s="9"/>
      <c r="G86" s="25"/>
      <c r="H86" s="18"/>
      <c r="I86" s="8"/>
      <c r="J86" s="7"/>
      <c r="K86" s="7"/>
    </row>
    <row r="87" spans="1:11" ht="12.75">
      <c r="A87" s="15" t="s">
        <v>34</v>
      </c>
      <c r="B87" s="102">
        <f>SUM(B84:B86)</f>
        <v>9760</v>
      </c>
      <c r="C87" s="102">
        <f>SUM(C84:C86)</f>
        <v>0</v>
      </c>
      <c r="D87" s="103">
        <f t="shared" si="28"/>
        <v>9760</v>
      </c>
      <c r="E87" s="64"/>
      <c r="F87" s="9"/>
      <c r="G87" s="25"/>
      <c r="H87" s="18"/>
      <c r="I87" s="8"/>
      <c r="J87" s="7"/>
      <c r="K87" s="7"/>
    </row>
    <row r="88" spans="1:11" ht="12.75">
      <c r="A88" s="14">
        <v>45017</v>
      </c>
      <c r="B88" s="104">
        <f>3590-1550</f>
        <v>2040</v>
      </c>
      <c r="C88" s="99">
        <v>0</v>
      </c>
      <c r="D88" s="99">
        <f t="shared" si="28"/>
        <v>2040</v>
      </c>
      <c r="E88" s="64"/>
      <c r="F88" s="9"/>
      <c r="G88" s="25"/>
      <c r="H88" s="18"/>
      <c r="I88" s="8"/>
      <c r="J88" s="7"/>
      <c r="K88" s="7"/>
    </row>
    <row r="89" spans="1:11" ht="12.75">
      <c r="A89" s="14">
        <v>45047</v>
      </c>
      <c r="B89" s="104">
        <f>3590+35.77-1685.77</f>
        <v>1940</v>
      </c>
      <c r="C89" s="99">
        <v>0</v>
      </c>
      <c r="D89" s="99">
        <f t="shared" si="28"/>
        <v>1940</v>
      </c>
      <c r="E89" s="64"/>
      <c r="F89" s="9"/>
      <c r="G89" s="25"/>
      <c r="H89" s="18"/>
      <c r="I89" s="8"/>
      <c r="J89" s="7"/>
      <c r="K89" s="7"/>
    </row>
    <row r="90" spans="1:11" ht="12.75">
      <c r="A90" s="14">
        <v>45078</v>
      </c>
      <c r="B90" s="99">
        <f>3592.77-1232.77</f>
        <v>2360</v>
      </c>
      <c r="C90" s="99">
        <v>0</v>
      </c>
      <c r="D90" s="99">
        <f t="shared" si="28"/>
        <v>2360</v>
      </c>
      <c r="E90" s="64"/>
      <c r="F90" s="9"/>
      <c r="G90" s="25"/>
      <c r="H90" s="18"/>
      <c r="I90" s="8"/>
      <c r="J90" s="8"/>
      <c r="K90" s="8"/>
    </row>
    <row r="91" spans="1:11" ht="12.75">
      <c r="A91" s="15" t="s">
        <v>47</v>
      </c>
      <c r="B91" s="102">
        <f>SUM(B88:B90)</f>
        <v>6340</v>
      </c>
      <c r="C91" s="102">
        <f>SUM(C88:C90)</f>
        <v>0</v>
      </c>
      <c r="D91" s="103">
        <f t="shared" si="28"/>
        <v>6340</v>
      </c>
      <c r="E91" s="64"/>
      <c r="F91" s="9"/>
      <c r="G91" s="25"/>
      <c r="H91" s="18"/>
      <c r="I91" s="8"/>
      <c r="J91" s="7"/>
      <c r="K91" s="7"/>
    </row>
    <row r="92" spans="1:11" ht="12.75">
      <c r="A92" s="14">
        <v>45108</v>
      </c>
      <c r="B92" s="106">
        <f>3000-760.9</f>
        <v>2239.1</v>
      </c>
      <c r="C92" s="100">
        <f>1150-1150</f>
        <v>0</v>
      </c>
      <c r="D92" s="99">
        <f t="shared" si="28"/>
        <v>2239.1</v>
      </c>
      <c r="E92" s="64"/>
      <c r="F92" s="9"/>
      <c r="G92" s="25"/>
      <c r="H92" s="18"/>
      <c r="I92" s="8"/>
      <c r="J92" s="7"/>
      <c r="K92" s="7"/>
    </row>
    <row r="93" spans="1:11" ht="12.75">
      <c r="A93" s="14">
        <v>45139</v>
      </c>
      <c r="B93" s="99">
        <f>3000-1734.9</f>
        <v>1265.1</v>
      </c>
      <c r="C93" s="100">
        <f>1150-1150</f>
        <v>0</v>
      </c>
      <c r="D93" s="99">
        <f t="shared" si="28"/>
        <v>1265.1</v>
      </c>
      <c r="E93" s="64"/>
      <c r="F93" s="9"/>
      <c r="G93" s="25"/>
      <c r="H93" s="18"/>
      <c r="I93" s="8"/>
      <c r="J93" s="7"/>
      <c r="K93" s="7"/>
    </row>
    <row r="94" spans="1:11" ht="12.75">
      <c r="A94" s="14">
        <v>45170</v>
      </c>
      <c r="B94" s="99">
        <f>3000-38.9</f>
        <v>2961.1</v>
      </c>
      <c r="C94" s="100">
        <v>0</v>
      </c>
      <c r="D94" s="99">
        <f t="shared" si="28"/>
        <v>2961.1</v>
      </c>
      <c r="E94" s="64"/>
      <c r="F94" s="9"/>
      <c r="G94" s="25"/>
      <c r="H94" s="18"/>
      <c r="I94" s="8"/>
      <c r="J94" s="7"/>
      <c r="K94" s="7"/>
    </row>
    <row r="95" spans="1:11" ht="12.75">
      <c r="A95" s="15" t="s">
        <v>59</v>
      </c>
      <c r="B95" s="102">
        <f>B92+B93+B94</f>
        <v>6465.299999999999</v>
      </c>
      <c r="C95" s="102">
        <f>C92+C93+C94</f>
        <v>0</v>
      </c>
      <c r="D95" s="102">
        <f>D92+D93+D94</f>
        <v>6465.299999999999</v>
      </c>
      <c r="E95" s="64"/>
      <c r="F95" s="9"/>
      <c r="G95" s="25"/>
      <c r="H95" s="18"/>
      <c r="I95" s="8"/>
      <c r="J95" s="7"/>
      <c r="K95" s="7"/>
    </row>
    <row r="96" spans="1:11" ht="12.75">
      <c r="A96" s="14">
        <v>45200</v>
      </c>
      <c r="B96" s="99">
        <f>3000-47.4</f>
        <v>2952.6</v>
      </c>
      <c r="C96" s="100">
        <f>1100-1100</f>
        <v>0</v>
      </c>
      <c r="D96" s="99">
        <f t="shared" si="28"/>
        <v>2952.6</v>
      </c>
      <c r="E96" s="30"/>
      <c r="F96" s="18"/>
      <c r="G96" s="9"/>
      <c r="H96" s="18"/>
      <c r="I96" s="8"/>
      <c r="J96" s="1"/>
      <c r="K96" s="1"/>
    </row>
    <row r="97" spans="1:12" ht="12.75">
      <c r="A97" s="38">
        <v>45231</v>
      </c>
      <c r="B97" s="99">
        <f>1800+1200+38.9+962.8-838.4</f>
        <v>3163.2999999999997</v>
      </c>
      <c r="C97" s="100">
        <f>665+364.7-1029.7</f>
        <v>0</v>
      </c>
      <c r="D97" s="99">
        <f t="shared" si="28"/>
        <v>3163.2999999999997</v>
      </c>
      <c r="E97" s="30"/>
      <c r="F97" s="18"/>
      <c r="G97" s="9"/>
      <c r="H97" s="18"/>
      <c r="I97" s="8"/>
      <c r="J97" s="1"/>
      <c r="K97" s="1"/>
      <c r="L97" s="1"/>
    </row>
    <row r="98" spans="1:12" ht="12.75">
      <c r="A98" s="14">
        <v>45261</v>
      </c>
      <c r="B98" s="99">
        <f>1298.04+1147.4+2053.29</f>
        <v>4498.73</v>
      </c>
      <c r="C98" s="100">
        <f>453.96+777.76</f>
        <v>1231.72</v>
      </c>
      <c r="D98" s="99">
        <f t="shared" si="28"/>
        <v>5730.45</v>
      </c>
      <c r="E98" s="30"/>
      <c r="F98" s="18"/>
      <c r="G98" s="9"/>
      <c r="H98" s="18"/>
      <c r="I98" s="8"/>
      <c r="J98" s="1"/>
      <c r="K98" s="1"/>
      <c r="L98" s="1"/>
    </row>
    <row r="99" spans="1:12" ht="25.5">
      <c r="A99" s="5" t="s">
        <v>72</v>
      </c>
      <c r="B99" s="102">
        <f>SUM(B96:B98)</f>
        <v>10614.63</v>
      </c>
      <c r="C99" s="102">
        <f>SUM(C96:C98)</f>
        <v>1231.72</v>
      </c>
      <c r="D99" s="102">
        <f>SUM(D96:D98)</f>
        <v>11846.349999999999</v>
      </c>
      <c r="E99" s="39"/>
      <c r="F99" s="18"/>
      <c r="G99" s="9"/>
      <c r="H99" s="18"/>
      <c r="I99" s="8"/>
      <c r="J99" s="1"/>
      <c r="K99" s="1"/>
      <c r="L99" s="1"/>
    </row>
    <row r="100" spans="1:9" ht="25.5">
      <c r="A100" s="19" t="s">
        <v>80</v>
      </c>
      <c r="B100" s="102">
        <f>B87+B91+B95+B99</f>
        <v>33179.93</v>
      </c>
      <c r="C100" s="102">
        <f>C87+C91+C95+C99</f>
        <v>1231.72</v>
      </c>
      <c r="D100" s="102">
        <f>D87+D91+D95+D99</f>
        <v>34411.649999999994</v>
      </c>
      <c r="E100" s="4"/>
      <c r="F100" s="18"/>
      <c r="G100" s="9"/>
      <c r="H100" s="18"/>
      <c r="I100" s="8"/>
    </row>
    <row r="101" spans="1:6" ht="12.75">
      <c r="A101" s="10"/>
      <c r="B101" s="4"/>
      <c r="C101" s="4"/>
      <c r="D101" s="8"/>
      <c r="E101" s="62"/>
      <c r="F101" s="4"/>
    </row>
    <row r="102" ht="12.75">
      <c r="A102" s="6"/>
    </row>
    <row r="103" ht="12.75">
      <c r="A103" s="26" t="s">
        <v>83</v>
      </c>
    </row>
    <row r="104" ht="12.75">
      <c r="A104" s="12"/>
    </row>
    <row r="106" spans="1:12" ht="93" customHeight="1">
      <c r="A106" s="112" t="s">
        <v>0</v>
      </c>
      <c r="B106" s="2" t="s">
        <v>10</v>
      </c>
      <c r="C106" s="2" t="s">
        <v>11</v>
      </c>
      <c r="D106" s="2" t="s">
        <v>12</v>
      </c>
      <c r="E106" s="83" t="s">
        <v>3</v>
      </c>
      <c r="F106" s="2" t="s">
        <v>15</v>
      </c>
      <c r="G106" s="2" t="s">
        <v>16</v>
      </c>
      <c r="H106" s="5" t="s">
        <v>17</v>
      </c>
      <c r="I106" s="84" t="s">
        <v>18</v>
      </c>
      <c r="J106" s="83" t="s">
        <v>4</v>
      </c>
      <c r="K106" s="2" t="s">
        <v>103</v>
      </c>
      <c r="L106" s="49" t="s">
        <v>1</v>
      </c>
    </row>
    <row r="107" spans="1:12" ht="25.5">
      <c r="A107" s="113"/>
      <c r="B107" s="2" t="s">
        <v>2</v>
      </c>
      <c r="C107" s="2" t="s">
        <v>2</v>
      </c>
      <c r="D107" s="2" t="s">
        <v>2</v>
      </c>
      <c r="E107" s="2" t="s">
        <v>2</v>
      </c>
      <c r="F107" s="2" t="s">
        <v>2</v>
      </c>
      <c r="G107" s="2" t="s">
        <v>2</v>
      </c>
      <c r="H107" s="2" t="s">
        <v>2</v>
      </c>
      <c r="I107" s="2" t="s">
        <v>2</v>
      </c>
      <c r="J107" s="2" t="s">
        <v>2</v>
      </c>
      <c r="K107" s="2" t="s">
        <v>2</v>
      </c>
      <c r="L107" s="2" t="s">
        <v>2</v>
      </c>
    </row>
    <row r="108" spans="1:12" ht="12.75">
      <c r="A108" s="14">
        <v>44927</v>
      </c>
      <c r="B108" s="11">
        <f>1057.7-27.7</f>
        <v>1030</v>
      </c>
      <c r="C108" s="11">
        <f>7726.3-1.3</f>
        <v>7725</v>
      </c>
      <c r="D108" s="11">
        <f>10772.49-67.49</f>
        <v>10705</v>
      </c>
      <c r="E108" s="11">
        <f>22594.47-17535.47</f>
        <v>5059</v>
      </c>
      <c r="F108" s="11">
        <f>52717.32-26755.32</f>
        <v>25962</v>
      </c>
      <c r="G108" s="11">
        <f>123062.5-35292.5</f>
        <v>87770</v>
      </c>
      <c r="H108" s="32">
        <f>67912.83-13.83</f>
        <v>67899</v>
      </c>
      <c r="I108" s="32">
        <f>21512.72-89.72</f>
        <v>21423</v>
      </c>
      <c r="J108" s="35">
        <f>131817.67+13181-3.67</f>
        <v>144995</v>
      </c>
      <c r="K108" s="35">
        <v>0</v>
      </c>
      <c r="L108" s="2">
        <f>B108+C108+D108+E108+F108+G108+H108+I108+J108+K108</f>
        <v>372568</v>
      </c>
    </row>
    <row r="109" spans="1:13" ht="25.5">
      <c r="A109" s="74" t="s">
        <v>25</v>
      </c>
      <c r="B109" s="76">
        <v>0</v>
      </c>
      <c r="C109" s="76">
        <v>0</v>
      </c>
      <c r="D109" s="76">
        <v>0</v>
      </c>
      <c r="E109" s="76">
        <v>0</v>
      </c>
      <c r="F109" s="76">
        <v>0</v>
      </c>
      <c r="G109" s="76">
        <v>0</v>
      </c>
      <c r="H109" s="76">
        <v>24355</v>
      </c>
      <c r="I109" s="76">
        <v>0</v>
      </c>
      <c r="J109" s="75">
        <v>149000</v>
      </c>
      <c r="K109" s="75">
        <v>0</v>
      </c>
      <c r="L109" s="2">
        <f aca="true" t="shared" si="29" ref="L109:L172">B109+C109+D109+E109+F109+G109+H109+I109+J109+K109</f>
        <v>173355</v>
      </c>
      <c r="M109" s="1"/>
    </row>
    <row r="110" spans="1:12" ht="25.5">
      <c r="A110" s="74" t="s">
        <v>26</v>
      </c>
      <c r="B110" s="76">
        <v>0</v>
      </c>
      <c r="C110" s="76">
        <v>0</v>
      </c>
      <c r="D110" s="76">
        <v>0</v>
      </c>
      <c r="E110" s="76">
        <v>0</v>
      </c>
      <c r="F110" s="76">
        <v>0</v>
      </c>
      <c r="G110" s="76">
        <v>0</v>
      </c>
      <c r="H110" s="76">
        <v>0</v>
      </c>
      <c r="I110" s="76">
        <v>0</v>
      </c>
      <c r="J110" s="75">
        <v>0</v>
      </c>
      <c r="K110" s="75">
        <v>0</v>
      </c>
      <c r="L110" s="2">
        <f t="shared" si="29"/>
        <v>0</v>
      </c>
    </row>
    <row r="111" spans="1:12" ht="25.5">
      <c r="A111" s="60" t="s">
        <v>27</v>
      </c>
      <c r="B111" s="91">
        <f>SUM(B108:B110)</f>
        <v>1030</v>
      </c>
      <c r="C111" s="91">
        <f aca="true" t="shared" si="30" ref="C111:K111">SUM(C108:C110)</f>
        <v>7725</v>
      </c>
      <c r="D111" s="91">
        <f t="shared" si="30"/>
        <v>10705</v>
      </c>
      <c r="E111" s="91">
        <f t="shared" si="30"/>
        <v>5059</v>
      </c>
      <c r="F111" s="91">
        <f t="shared" si="30"/>
        <v>25962</v>
      </c>
      <c r="G111" s="91">
        <f t="shared" si="30"/>
        <v>87770</v>
      </c>
      <c r="H111" s="91">
        <f t="shared" si="30"/>
        <v>92254</v>
      </c>
      <c r="I111" s="91">
        <f t="shared" si="30"/>
        <v>21423</v>
      </c>
      <c r="J111" s="91">
        <f t="shared" si="30"/>
        <v>293995</v>
      </c>
      <c r="K111" s="91">
        <f t="shared" si="30"/>
        <v>0</v>
      </c>
      <c r="L111" s="2">
        <f t="shared" si="29"/>
        <v>545923</v>
      </c>
    </row>
    <row r="112" spans="1:12" ht="12.75">
      <c r="A112" s="14">
        <v>44958</v>
      </c>
      <c r="B112" s="11">
        <f>1057.58-12.58</f>
        <v>1045</v>
      </c>
      <c r="C112" s="11">
        <f>7725.42-30.42</f>
        <v>7695</v>
      </c>
      <c r="D112" s="11">
        <f>10772.66+170.72-216.38</f>
        <v>10727</v>
      </c>
      <c r="E112" s="11">
        <f>22594.84+399.55-7208.39</f>
        <v>15786</v>
      </c>
      <c r="F112" s="11">
        <f>52718.18-948.88-30928.3</f>
        <v>20841.000000000004</v>
      </c>
      <c r="G112" s="11">
        <f>123062.98-1126.12-42731.86</f>
        <v>79205</v>
      </c>
      <c r="H112" s="32">
        <f>67913.09+369.67-232.76</f>
        <v>68050</v>
      </c>
      <c r="I112" s="32">
        <f>21513.07+378.61-27.68</f>
        <v>21864</v>
      </c>
      <c r="J112" s="35">
        <f>131818.18-13181+756.45-8.63</f>
        <v>119384.99999999999</v>
      </c>
      <c r="K112" s="35">
        <v>0</v>
      </c>
      <c r="L112" s="2">
        <f t="shared" si="29"/>
        <v>344598</v>
      </c>
    </row>
    <row r="113" spans="1:12" ht="25.5">
      <c r="A113" s="74" t="s">
        <v>28</v>
      </c>
      <c r="B113" s="76">
        <v>0</v>
      </c>
      <c r="C113" s="76">
        <v>0</v>
      </c>
      <c r="D113" s="76">
        <v>0</v>
      </c>
      <c r="E113" s="76">
        <v>0</v>
      </c>
      <c r="F113" s="76">
        <v>0</v>
      </c>
      <c r="G113" s="76">
        <v>0</v>
      </c>
      <c r="H113" s="76">
        <v>40380</v>
      </c>
      <c r="I113" s="76">
        <v>0</v>
      </c>
      <c r="J113" s="75">
        <v>147295</v>
      </c>
      <c r="K113" s="75">
        <v>0</v>
      </c>
      <c r="L113" s="2">
        <f t="shared" si="29"/>
        <v>187675</v>
      </c>
    </row>
    <row r="114" spans="1:12" ht="25.5">
      <c r="A114" s="74" t="s">
        <v>29</v>
      </c>
      <c r="B114" s="76">
        <v>0</v>
      </c>
      <c r="C114" s="95">
        <v>0</v>
      </c>
      <c r="D114" s="95">
        <v>0</v>
      </c>
      <c r="E114" s="95">
        <v>0</v>
      </c>
      <c r="F114" s="95">
        <v>0</v>
      </c>
      <c r="G114" s="95">
        <v>0</v>
      </c>
      <c r="H114" s="95">
        <v>0</v>
      </c>
      <c r="I114" s="95">
        <v>0</v>
      </c>
      <c r="J114" s="96">
        <v>0</v>
      </c>
      <c r="K114" s="96">
        <v>0</v>
      </c>
      <c r="L114" s="2">
        <f t="shared" si="29"/>
        <v>0</v>
      </c>
    </row>
    <row r="115" spans="1:12" ht="25.5">
      <c r="A115" s="60" t="s">
        <v>30</v>
      </c>
      <c r="B115" s="91">
        <f aca="true" t="shared" si="31" ref="B115:K115">SUM(B112:B114)</f>
        <v>1045</v>
      </c>
      <c r="C115" s="91">
        <f t="shared" si="31"/>
        <v>7695</v>
      </c>
      <c r="D115" s="91">
        <f t="shared" si="31"/>
        <v>10727</v>
      </c>
      <c r="E115" s="91">
        <f t="shared" si="31"/>
        <v>15786</v>
      </c>
      <c r="F115" s="91">
        <f t="shared" si="31"/>
        <v>20841.000000000004</v>
      </c>
      <c r="G115" s="91">
        <f t="shared" si="31"/>
        <v>79205</v>
      </c>
      <c r="H115" s="91">
        <f t="shared" si="31"/>
        <v>108430</v>
      </c>
      <c r="I115" s="91">
        <f t="shared" si="31"/>
        <v>21864</v>
      </c>
      <c r="J115" s="91">
        <f t="shared" si="31"/>
        <v>266680</v>
      </c>
      <c r="K115" s="91">
        <f t="shared" si="31"/>
        <v>0</v>
      </c>
      <c r="L115" s="2">
        <f t="shared" si="29"/>
        <v>532273</v>
      </c>
    </row>
    <row r="116" spans="1:12" ht="12.75">
      <c r="A116" s="14">
        <v>44986</v>
      </c>
      <c r="B116" s="11">
        <f>1021.92+3.41-35.33</f>
        <v>989.9999999999999</v>
      </c>
      <c r="C116" s="11">
        <f>7767.74+25.59-83.33</f>
        <v>7710</v>
      </c>
      <c r="D116" s="11">
        <f>10834.09-2.09</f>
        <v>10832</v>
      </c>
      <c r="E116" s="11">
        <f>22753.22-2567.22</f>
        <v>20186</v>
      </c>
      <c r="F116" s="11">
        <f>52111.84-11540.84</f>
        <v>40571</v>
      </c>
      <c r="G116" s="11">
        <f>122585.83-22865.83</f>
        <v>99720</v>
      </c>
      <c r="H116" s="32">
        <f>68134.72+19049.87-24.59</f>
        <v>87160</v>
      </c>
      <c r="I116" s="32">
        <f>21974.19-8.19</f>
        <v>21966</v>
      </c>
      <c r="J116" s="35">
        <f>132299.45+60708.13-47.58</f>
        <v>192960.00000000003</v>
      </c>
      <c r="K116" s="35">
        <v>0</v>
      </c>
      <c r="L116" s="2">
        <f t="shared" si="29"/>
        <v>482095</v>
      </c>
    </row>
    <row r="117" spans="1:12" ht="25.5">
      <c r="A117" s="74" t="s">
        <v>31</v>
      </c>
      <c r="B117" s="76">
        <v>0</v>
      </c>
      <c r="C117" s="76">
        <v>0</v>
      </c>
      <c r="D117" s="76">
        <v>0</v>
      </c>
      <c r="E117" s="76">
        <v>0</v>
      </c>
      <c r="F117" s="76">
        <v>0</v>
      </c>
      <c r="G117" s="76">
        <v>0</v>
      </c>
      <c r="H117" s="76">
        <v>63185</v>
      </c>
      <c r="I117" s="76">
        <v>32</v>
      </c>
      <c r="J117" s="75">
        <v>159930</v>
      </c>
      <c r="K117" s="75">
        <v>0</v>
      </c>
      <c r="L117" s="2">
        <f t="shared" si="29"/>
        <v>223147</v>
      </c>
    </row>
    <row r="118" spans="1:12" ht="25.5">
      <c r="A118" s="74" t="s">
        <v>32</v>
      </c>
      <c r="B118" s="76">
        <v>0</v>
      </c>
      <c r="C118" s="76">
        <v>0</v>
      </c>
      <c r="D118" s="76">
        <v>0</v>
      </c>
      <c r="E118" s="76">
        <v>0</v>
      </c>
      <c r="F118" s="76">
        <v>0</v>
      </c>
      <c r="G118" s="76">
        <v>0</v>
      </c>
      <c r="H118" s="76">
        <v>0</v>
      </c>
      <c r="I118" s="76">
        <v>0</v>
      </c>
      <c r="J118" s="75">
        <v>0</v>
      </c>
      <c r="K118" s="75">
        <v>0</v>
      </c>
      <c r="L118" s="2">
        <f t="shared" si="29"/>
        <v>0</v>
      </c>
    </row>
    <row r="119" spans="1:12" ht="25.5">
      <c r="A119" s="60" t="s">
        <v>33</v>
      </c>
      <c r="B119" s="91">
        <f aca="true" t="shared" si="32" ref="B119:K119">B116+B117+B118</f>
        <v>989.9999999999999</v>
      </c>
      <c r="C119" s="91">
        <f t="shared" si="32"/>
        <v>7710</v>
      </c>
      <c r="D119" s="91">
        <f t="shared" si="32"/>
        <v>10832</v>
      </c>
      <c r="E119" s="91">
        <f t="shared" si="32"/>
        <v>20186</v>
      </c>
      <c r="F119" s="91">
        <f t="shared" si="32"/>
        <v>40571</v>
      </c>
      <c r="G119" s="91">
        <f t="shared" si="32"/>
        <v>99720</v>
      </c>
      <c r="H119" s="91">
        <f t="shared" si="32"/>
        <v>150345</v>
      </c>
      <c r="I119" s="91">
        <f t="shared" si="32"/>
        <v>21998</v>
      </c>
      <c r="J119" s="91">
        <f t="shared" si="32"/>
        <v>352890</v>
      </c>
      <c r="K119" s="91">
        <f t="shared" si="32"/>
        <v>0</v>
      </c>
      <c r="L119" s="2">
        <f t="shared" si="29"/>
        <v>705242</v>
      </c>
    </row>
    <row r="120" spans="1:12" ht="12.75">
      <c r="A120" s="28" t="s">
        <v>34</v>
      </c>
      <c r="B120" s="20">
        <f>B108+B112+B116</f>
        <v>3065</v>
      </c>
      <c r="C120" s="20">
        <f aca="true" t="shared" si="33" ref="C120:K122">C108+C112+C116</f>
        <v>23130</v>
      </c>
      <c r="D120" s="20">
        <f t="shared" si="33"/>
        <v>32264</v>
      </c>
      <c r="E120" s="20">
        <f t="shared" si="33"/>
        <v>41031</v>
      </c>
      <c r="F120" s="20">
        <f t="shared" si="33"/>
        <v>87374</v>
      </c>
      <c r="G120" s="20">
        <f t="shared" si="33"/>
        <v>266695</v>
      </c>
      <c r="H120" s="20">
        <f t="shared" si="33"/>
        <v>223109</v>
      </c>
      <c r="I120" s="20">
        <f t="shared" si="33"/>
        <v>65253</v>
      </c>
      <c r="J120" s="20">
        <f t="shared" si="33"/>
        <v>457340</v>
      </c>
      <c r="K120" s="20">
        <f t="shared" si="33"/>
        <v>0</v>
      </c>
      <c r="L120" s="2">
        <f t="shared" si="29"/>
        <v>1199261</v>
      </c>
    </row>
    <row r="121" spans="1:12" ht="25.5">
      <c r="A121" s="49" t="s">
        <v>35</v>
      </c>
      <c r="B121" s="20">
        <f>B109+B113+B117</f>
        <v>0</v>
      </c>
      <c r="C121" s="20">
        <f t="shared" si="33"/>
        <v>0</v>
      </c>
      <c r="D121" s="20">
        <f t="shared" si="33"/>
        <v>0</v>
      </c>
      <c r="E121" s="20">
        <f t="shared" si="33"/>
        <v>0</v>
      </c>
      <c r="F121" s="20">
        <f t="shared" si="33"/>
        <v>0</v>
      </c>
      <c r="G121" s="20">
        <f t="shared" si="33"/>
        <v>0</v>
      </c>
      <c r="H121" s="20">
        <f t="shared" si="33"/>
        <v>127920</v>
      </c>
      <c r="I121" s="20">
        <f t="shared" si="33"/>
        <v>32</v>
      </c>
      <c r="J121" s="20">
        <f t="shared" si="33"/>
        <v>456225</v>
      </c>
      <c r="K121" s="20">
        <f t="shared" si="33"/>
        <v>0</v>
      </c>
      <c r="L121" s="2">
        <f t="shared" si="29"/>
        <v>584177</v>
      </c>
    </row>
    <row r="122" spans="1:12" ht="25.5">
      <c r="A122" s="49" t="s">
        <v>36</v>
      </c>
      <c r="B122" s="20">
        <f>B110+B114+B118</f>
        <v>0</v>
      </c>
      <c r="C122" s="20">
        <f t="shared" si="33"/>
        <v>0</v>
      </c>
      <c r="D122" s="20">
        <f t="shared" si="33"/>
        <v>0</v>
      </c>
      <c r="E122" s="20">
        <f t="shared" si="33"/>
        <v>0</v>
      </c>
      <c r="F122" s="20">
        <f t="shared" si="33"/>
        <v>0</v>
      </c>
      <c r="G122" s="20">
        <f t="shared" si="33"/>
        <v>0</v>
      </c>
      <c r="H122" s="20">
        <f t="shared" si="33"/>
        <v>0</v>
      </c>
      <c r="I122" s="20">
        <f t="shared" si="33"/>
        <v>0</v>
      </c>
      <c r="J122" s="20">
        <f t="shared" si="33"/>
        <v>0</v>
      </c>
      <c r="K122" s="20">
        <f t="shared" si="33"/>
        <v>0</v>
      </c>
      <c r="L122" s="2">
        <f t="shared" si="29"/>
        <v>0</v>
      </c>
    </row>
    <row r="123" spans="1:12" ht="38.25">
      <c r="A123" s="49" t="s">
        <v>84</v>
      </c>
      <c r="B123" s="20">
        <f>B120+B121+B122</f>
        <v>3065</v>
      </c>
      <c r="C123" s="20">
        <f aca="true" t="shared" si="34" ref="C123:K123">C120+C121+C122</f>
        <v>23130</v>
      </c>
      <c r="D123" s="20">
        <f t="shared" si="34"/>
        <v>32264</v>
      </c>
      <c r="E123" s="20">
        <f t="shared" si="34"/>
        <v>41031</v>
      </c>
      <c r="F123" s="20">
        <f t="shared" si="34"/>
        <v>87374</v>
      </c>
      <c r="G123" s="20">
        <f t="shared" si="34"/>
        <v>266695</v>
      </c>
      <c r="H123" s="20">
        <f t="shared" si="34"/>
        <v>351029</v>
      </c>
      <c r="I123" s="20">
        <f t="shared" si="34"/>
        <v>65285</v>
      </c>
      <c r="J123" s="20">
        <f t="shared" si="34"/>
        <v>913565</v>
      </c>
      <c r="K123" s="20">
        <f t="shared" si="34"/>
        <v>0</v>
      </c>
      <c r="L123" s="2">
        <f t="shared" si="29"/>
        <v>1783438</v>
      </c>
    </row>
    <row r="124" spans="1:12" ht="12.75">
      <c r="A124" s="14">
        <v>45017</v>
      </c>
      <c r="B124" s="33">
        <f>1045+43-3</f>
        <v>1085</v>
      </c>
      <c r="C124" s="29">
        <f>7750-10</f>
        <v>7740</v>
      </c>
      <c r="D124" s="29">
        <v>10000</v>
      </c>
      <c r="E124" s="29">
        <f>22900-1477</f>
        <v>21423</v>
      </c>
      <c r="F124" s="29">
        <f>52500-39144</f>
        <v>13356</v>
      </c>
      <c r="G124" s="11">
        <f>119100-14915</f>
        <v>104185</v>
      </c>
      <c r="H124" s="32">
        <f>73600+21443.82-88.82</f>
        <v>94955</v>
      </c>
      <c r="I124" s="32">
        <f>22100-160</f>
        <v>21940</v>
      </c>
      <c r="J124" s="35">
        <f>129950+59910.18-55.18</f>
        <v>189805</v>
      </c>
      <c r="K124" s="35">
        <v>0</v>
      </c>
      <c r="L124" s="2">
        <f t="shared" si="29"/>
        <v>464489</v>
      </c>
    </row>
    <row r="125" spans="1:12" ht="25.5">
      <c r="A125" s="74" t="s">
        <v>38</v>
      </c>
      <c r="B125" s="97">
        <v>0</v>
      </c>
      <c r="C125" s="53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31465</v>
      </c>
      <c r="I125" s="53">
        <v>0</v>
      </c>
      <c r="J125" s="52">
        <v>144070</v>
      </c>
      <c r="K125" s="52">
        <v>0</v>
      </c>
      <c r="L125" s="2">
        <f t="shared" si="29"/>
        <v>175535</v>
      </c>
    </row>
    <row r="126" spans="1:12" ht="25.5">
      <c r="A126" s="74" t="s">
        <v>39</v>
      </c>
      <c r="B126" s="97">
        <v>0</v>
      </c>
      <c r="C126" s="53">
        <v>0</v>
      </c>
      <c r="D126" s="53">
        <v>0</v>
      </c>
      <c r="E126" s="53">
        <v>0</v>
      </c>
      <c r="F126" s="53">
        <v>0</v>
      </c>
      <c r="G126" s="53">
        <v>0</v>
      </c>
      <c r="H126" s="53">
        <v>0</v>
      </c>
      <c r="I126" s="53">
        <v>0</v>
      </c>
      <c r="J126" s="52">
        <v>0</v>
      </c>
      <c r="K126" s="52">
        <v>0</v>
      </c>
      <c r="L126" s="2">
        <f t="shared" si="29"/>
        <v>0</v>
      </c>
    </row>
    <row r="127" spans="1:12" ht="25.5">
      <c r="A127" s="93" t="s">
        <v>40</v>
      </c>
      <c r="B127" s="33">
        <f>B124+B125+B126</f>
        <v>1085</v>
      </c>
      <c r="C127" s="33">
        <f aca="true" t="shared" si="35" ref="C127:K127">C124+C125+C126</f>
        <v>7740</v>
      </c>
      <c r="D127" s="33">
        <f t="shared" si="35"/>
        <v>10000</v>
      </c>
      <c r="E127" s="33">
        <f t="shared" si="35"/>
        <v>21423</v>
      </c>
      <c r="F127" s="33">
        <f t="shared" si="35"/>
        <v>13356</v>
      </c>
      <c r="G127" s="33">
        <f t="shared" si="35"/>
        <v>104185</v>
      </c>
      <c r="H127" s="33">
        <f t="shared" si="35"/>
        <v>126420</v>
      </c>
      <c r="I127" s="33">
        <f t="shared" si="35"/>
        <v>21940</v>
      </c>
      <c r="J127" s="33">
        <f t="shared" si="35"/>
        <v>333875</v>
      </c>
      <c r="K127" s="33">
        <f t="shared" si="35"/>
        <v>0</v>
      </c>
      <c r="L127" s="2">
        <f t="shared" si="29"/>
        <v>640024</v>
      </c>
    </row>
    <row r="128" spans="1:12" ht="12.75">
      <c r="A128" s="14">
        <v>45047</v>
      </c>
      <c r="B128" s="29">
        <f>1045+118.66-38.66</f>
        <v>1125</v>
      </c>
      <c r="C128" s="92">
        <f>7750-10</f>
        <v>7740</v>
      </c>
      <c r="D128" s="92">
        <f>10000+4669.59-0.59</f>
        <v>14669</v>
      </c>
      <c r="E128" s="11">
        <f>22900-11592</f>
        <v>11308</v>
      </c>
      <c r="F128" s="29">
        <f>52500-13522</f>
        <v>38978</v>
      </c>
      <c r="G128" s="11">
        <f>119100-3560</f>
        <v>115540</v>
      </c>
      <c r="H128" s="32">
        <f>73600+6367.18+7996-4.18</f>
        <v>87959</v>
      </c>
      <c r="I128" s="32">
        <f>22100+9448.75+3154-10.75</f>
        <v>34692</v>
      </c>
      <c r="J128" s="35">
        <f>129950+16570.82+14625-20.82</f>
        <v>161125</v>
      </c>
      <c r="K128" s="35">
        <v>0</v>
      </c>
      <c r="L128" s="2">
        <f t="shared" si="29"/>
        <v>473136</v>
      </c>
    </row>
    <row r="129" spans="1:12" ht="25.5">
      <c r="A129" s="47" t="s">
        <v>41</v>
      </c>
      <c r="B129" s="53">
        <v>0</v>
      </c>
      <c r="C129" s="105">
        <v>0</v>
      </c>
      <c r="D129" s="105">
        <v>0</v>
      </c>
      <c r="E129" s="105">
        <v>0</v>
      </c>
      <c r="F129" s="105">
        <v>0</v>
      </c>
      <c r="G129" s="105">
        <v>0</v>
      </c>
      <c r="H129" s="105">
        <v>54676</v>
      </c>
      <c r="I129" s="105">
        <v>32</v>
      </c>
      <c r="J129" s="105">
        <v>179145</v>
      </c>
      <c r="K129" s="105">
        <v>0</v>
      </c>
      <c r="L129" s="2">
        <f t="shared" si="29"/>
        <v>233853</v>
      </c>
    </row>
    <row r="130" spans="1:12" ht="25.5">
      <c r="A130" s="47" t="s">
        <v>42</v>
      </c>
      <c r="B130" s="53">
        <v>0</v>
      </c>
      <c r="C130" s="53">
        <v>0</v>
      </c>
      <c r="D130" s="53">
        <v>0</v>
      </c>
      <c r="E130" s="53">
        <v>0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2">
        <f t="shared" si="29"/>
        <v>0</v>
      </c>
    </row>
    <row r="131" spans="1:12" ht="12.75">
      <c r="A131" s="93" t="s">
        <v>43</v>
      </c>
      <c r="B131" s="29">
        <f>SUM(B128:B130)</f>
        <v>1125</v>
      </c>
      <c r="C131" s="29">
        <f aca="true" t="shared" si="36" ref="C131:K131">SUM(C128:C130)</f>
        <v>7740</v>
      </c>
      <c r="D131" s="29">
        <f t="shared" si="36"/>
        <v>14669</v>
      </c>
      <c r="E131" s="29">
        <f t="shared" si="36"/>
        <v>11308</v>
      </c>
      <c r="F131" s="29">
        <f t="shared" si="36"/>
        <v>38978</v>
      </c>
      <c r="G131" s="29">
        <f t="shared" si="36"/>
        <v>115540</v>
      </c>
      <c r="H131" s="29">
        <f t="shared" si="36"/>
        <v>142635</v>
      </c>
      <c r="I131" s="29">
        <f t="shared" si="36"/>
        <v>34724</v>
      </c>
      <c r="J131" s="29">
        <f t="shared" si="36"/>
        <v>340270</v>
      </c>
      <c r="K131" s="29">
        <f t="shared" si="36"/>
        <v>0</v>
      </c>
      <c r="L131" s="2">
        <f t="shared" si="29"/>
        <v>706989</v>
      </c>
    </row>
    <row r="132" spans="1:12" ht="12.75">
      <c r="A132" s="14">
        <v>45078</v>
      </c>
      <c r="B132" s="29">
        <f>971.64+1.54-38.18</f>
        <v>935</v>
      </c>
      <c r="C132" s="92">
        <f>7771.81+11.46-13.27</f>
        <v>7770</v>
      </c>
      <c r="D132" s="29">
        <f>10061.86+7938.14-2610</f>
        <v>15390</v>
      </c>
      <c r="E132" s="11">
        <f>22879.94-16474.94</f>
        <v>6405</v>
      </c>
      <c r="F132" s="11">
        <f>52517.78-21970.78</f>
        <v>30547</v>
      </c>
      <c r="G132" s="11">
        <f>119032.31-43952.31</f>
        <v>75080</v>
      </c>
      <c r="H132" s="32">
        <f>73522.27-7996+13259.23-230.5</f>
        <v>78555</v>
      </c>
      <c r="I132" s="32">
        <f>22125.18-3154-79.18</f>
        <v>18892</v>
      </c>
      <c r="J132" s="35">
        <f>129899.71-14625+34642.63-57.34</f>
        <v>149860</v>
      </c>
      <c r="K132" s="35">
        <v>0</v>
      </c>
      <c r="L132" s="2">
        <f t="shared" si="29"/>
        <v>383434</v>
      </c>
    </row>
    <row r="133" spans="1:12" ht="25.5">
      <c r="A133" s="74" t="s">
        <v>44</v>
      </c>
      <c r="B133" s="76">
        <v>0</v>
      </c>
      <c r="C133" s="105">
        <v>0</v>
      </c>
      <c r="D133" s="105">
        <v>0</v>
      </c>
      <c r="E133" s="105">
        <v>0</v>
      </c>
      <c r="F133" s="105">
        <v>0</v>
      </c>
      <c r="G133" s="105">
        <v>23570</v>
      </c>
      <c r="H133" s="105">
        <v>38325</v>
      </c>
      <c r="I133" s="105">
        <v>64</v>
      </c>
      <c r="J133" s="105">
        <v>191270</v>
      </c>
      <c r="K133" s="105">
        <v>0</v>
      </c>
      <c r="L133" s="2">
        <f t="shared" si="29"/>
        <v>253229</v>
      </c>
    </row>
    <row r="134" spans="1:12" ht="25.5">
      <c r="A134" s="74" t="s">
        <v>45</v>
      </c>
      <c r="B134" s="76">
        <v>0</v>
      </c>
      <c r="C134" s="53">
        <v>0</v>
      </c>
      <c r="D134" s="53">
        <v>0</v>
      </c>
      <c r="E134" s="53">
        <v>0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2">
        <f t="shared" si="29"/>
        <v>0</v>
      </c>
    </row>
    <row r="135" spans="1:12" ht="25.5">
      <c r="A135" s="60" t="s">
        <v>46</v>
      </c>
      <c r="B135" s="29">
        <f>B132+B133+B134</f>
        <v>935</v>
      </c>
      <c r="C135" s="29">
        <f aca="true" t="shared" si="37" ref="C135:K135">C132+C133+C134</f>
        <v>7770</v>
      </c>
      <c r="D135" s="29">
        <f t="shared" si="37"/>
        <v>15390</v>
      </c>
      <c r="E135" s="29">
        <f t="shared" si="37"/>
        <v>6405</v>
      </c>
      <c r="F135" s="29">
        <f t="shared" si="37"/>
        <v>30547</v>
      </c>
      <c r="G135" s="29">
        <f t="shared" si="37"/>
        <v>98650</v>
      </c>
      <c r="H135" s="29">
        <f t="shared" si="37"/>
        <v>116880</v>
      </c>
      <c r="I135" s="29">
        <f t="shared" si="37"/>
        <v>18956</v>
      </c>
      <c r="J135" s="29">
        <f t="shared" si="37"/>
        <v>341130</v>
      </c>
      <c r="K135" s="29">
        <f t="shared" si="37"/>
        <v>0</v>
      </c>
      <c r="L135" s="2">
        <f t="shared" si="29"/>
        <v>636663</v>
      </c>
    </row>
    <row r="136" spans="1:12" ht="12.75">
      <c r="A136" s="15" t="s">
        <v>47</v>
      </c>
      <c r="B136" s="20">
        <f>B124+B128+B132</f>
        <v>3145</v>
      </c>
      <c r="C136" s="20">
        <f aca="true" t="shared" si="38" ref="C136:K138">C124+C128+C132</f>
        <v>23250</v>
      </c>
      <c r="D136" s="20">
        <f t="shared" si="38"/>
        <v>40059</v>
      </c>
      <c r="E136" s="20">
        <f t="shared" si="38"/>
        <v>39136</v>
      </c>
      <c r="F136" s="20">
        <f t="shared" si="38"/>
        <v>82881</v>
      </c>
      <c r="G136" s="20">
        <f t="shared" si="38"/>
        <v>294805</v>
      </c>
      <c r="H136" s="20">
        <f t="shared" si="38"/>
        <v>261469</v>
      </c>
      <c r="I136" s="20">
        <f t="shared" si="38"/>
        <v>75524</v>
      </c>
      <c r="J136" s="20">
        <f t="shared" si="38"/>
        <v>500790</v>
      </c>
      <c r="K136" s="20">
        <f t="shared" si="38"/>
        <v>0</v>
      </c>
      <c r="L136" s="2">
        <f t="shared" si="29"/>
        <v>1321059</v>
      </c>
    </row>
    <row r="137" spans="1:12" ht="25.5">
      <c r="A137" s="49" t="s">
        <v>48</v>
      </c>
      <c r="B137" s="20">
        <f>B125+B129+B133</f>
        <v>0</v>
      </c>
      <c r="C137" s="20">
        <f t="shared" si="38"/>
        <v>0</v>
      </c>
      <c r="D137" s="20">
        <f t="shared" si="38"/>
        <v>0</v>
      </c>
      <c r="E137" s="20">
        <f t="shared" si="38"/>
        <v>0</v>
      </c>
      <c r="F137" s="20">
        <f t="shared" si="38"/>
        <v>0</v>
      </c>
      <c r="G137" s="20">
        <f t="shared" si="38"/>
        <v>23570</v>
      </c>
      <c r="H137" s="20">
        <f t="shared" si="38"/>
        <v>124466</v>
      </c>
      <c r="I137" s="20">
        <f t="shared" si="38"/>
        <v>96</v>
      </c>
      <c r="J137" s="20">
        <f t="shared" si="38"/>
        <v>514485</v>
      </c>
      <c r="K137" s="20">
        <f t="shared" si="38"/>
        <v>0</v>
      </c>
      <c r="L137" s="2">
        <f t="shared" si="29"/>
        <v>662617</v>
      </c>
    </row>
    <row r="138" spans="1:12" ht="25.5">
      <c r="A138" s="49" t="s">
        <v>49</v>
      </c>
      <c r="B138" s="20">
        <f>B126+B130+B134</f>
        <v>0</v>
      </c>
      <c r="C138" s="20">
        <f t="shared" si="38"/>
        <v>0</v>
      </c>
      <c r="D138" s="20">
        <f t="shared" si="38"/>
        <v>0</v>
      </c>
      <c r="E138" s="20">
        <f t="shared" si="38"/>
        <v>0</v>
      </c>
      <c r="F138" s="20">
        <f t="shared" si="38"/>
        <v>0</v>
      </c>
      <c r="G138" s="20">
        <f t="shared" si="38"/>
        <v>0</v>
      </c>
      <c r="H138" s="20">
        <f t="shared" si="38"/>
        <v>0</v>
      </c>
      <c r="I138" s="20">
        <f t="shared" si="38"/>
        <v>0</v>
      </c>
      <c r="J138" s="20">
        <f t="shared" si="38"/>
        <v>0</v>
      </c>
      <c r="K138" s="20">
        <f t="shared" si="38"/>
        <v>0</v>
      </c>
      <c r="L138" s="2">
        <f t="shared" si="29"/>
        <v>0</v>
      </c>
    </row>
    <row r="139" spans="1:12" ht="38.25">
      <c r="A139" s="49" t="s">
        <v>85</v>
      </c>
      <c r="B139" s="20">
        <f aca="true" t="shared" si="39" ref="B139:K139">B136+B137+B138</f>
        <v>3145</v>
      </c>
      <c r="C139" s="20">
        <f t="shared" si="39"/>
        <v>23250</v>
      </c>
      <c r="D139" s="20">
        <f t="shared" si="39"/>
        <v>40059</v>
      </c>
      <c r="E139" s="20">
        <f t="shared" si="39"/>
        <v>39136</v>
      </c>
      <c r="F139" s="20">
        <f t="shared" si="39"/>
        <v>82881</v>
      </c>
      <c r="G139" s="20">
        <f t="shared" si="39"/>
        <v>318375</v>
      </c>
      <c r="H139" s="20">
        <f t="shared" si="39"/>
        <v>385935</v>
      </c>
      <c r="I139" s="20">
        <f t="shared" si="39"/>
        <v>75620</v>
      </c>
      <c r="J139" s="20">
        <f t="shared" si="39"/>
        <v>1015275</v>
      </c>
      <c r="K139" s="20">
        <f t="shared" si="39"/>
        <v>0</v>
      </c>
      <c r="L139" s="2">
        <f t="shared" si="29"/>
        <v>1983676</v>
      </c>
    </row>
    <row r="140" spans="1:12" ht="12.75">
      <c r="A140" s="14">
        <v>45108</v>
      </c>
      <c r="B140" s="29">
        <f>296.56+5.85-5.85</f>
        <v>296.56</v>
      </c>
      <c r="C140" s="29">
        <f>4852.8+42.81-2.37</f>
        <v>4893.240000000001</v>
      </c>
      <c r="D140" s="29">
        <f>12000+7996.67-63.77</f>
        <v>19932.899999999998</v>
      </c>
      <c r="E140" s="29">
        <f>32000-9128.09</f>
        <v>22871.91</v>
      </c>
      <c r="F140" s="29">
        <f>49000-22691.8</f>
        <v>26308.2</v>
      </c>
      <c r="G140" s="11">
        <f>139000-9548.2</f>
        <v>129451.8</v>
      </c>
      <c r="H140" s="32">
        <f>73000+1006.89-16.88</f>
        <v>73990.01</v>
      </c>
      <c r="I140" s="32">
        <f>29000+17128.67-48.97</f>
        <v>46079.7</v>
      </c>
      <c r="J140" s="35">
        <f>163000+2578.11+16557-15.67</f>
        <v>182119.43999999997</v>
      </c>
      <c r="K140" s="35">
        <v>0</v>
      </c>
      <c r="L140" s="2">
        <f t="shared" si="29"/>
        <v>505943.76</v>
      </c>
    </row>
    <row r="141" spans="1:12" ht="25.5">
      <c r="A141" s="74" t="s">
        <v>50</v>
      </c>
      <c r="B141" s="76">
        <v>0</v>
      </c>
      <c r="C141" s="76">
        <v>0</v>
      </c>
      <c r="D141" s="76">
        <v>0</v>
      </c>
      <c r="E141" s="76">
        <v>0</v>
      </c>
      <c r="F141" s="76">
        <v>0</v>
      </c>
      <c r="G141" s="76">
        <v>0</v>
      </c>
      <c r="H141" s="76">
        <v>0</v>
      </c>
      <c r="I141" s="76">
        <v>0</v>
      </c>
      <c r="J141" s="75">
        <v>0</v>
      </c>
      <c r="K141" s="75">
        <v>0</v>
      </c>
      <c r="L141" s="2">
        <f t="shared" si="29"/>
        <v>0</v>
      </c>
    </row>
    <row r="142" spans="1:12" s="67" customFormat="1" ht="25.5">
      <c r="A142" s="74" t="s">
        <v>51</v>
      </c>
      <c r="B142" s="76">
        <v>0</v>
      </c>
      <c r="C142" s="76">
        <v>0</v>
      </c>
      <c r="D142" s="76">
        <v>0</v>
      </c>
      <c r="E142" s="76">
        <v>0</v>
      </c>
      <c r="F142" s="76">
        <v>0</v>
      </c>
      <c r="G142" s="76">
        <v>0</v>
      </c>
      <c r="H142" s="76">
        <v>48992</v>
      </c>
      <c r="I142" s="76">
        <v>0</v>
      </c>
      <c r="J142" s="75">
        <v>196360</v>
      </c>
      <c r="K142" s="75">
        <v>0</v>
      </c>
      <c r="L142" s="2">
        <f t="shared" si="29"/>
        <v>245352</v>
      </c>
    </row>
    <row r="143" spans="1:12" ht="25.5">
      <c r="A143" s="60" t="s">
        <v>52</v>
      </c>
      <c r="B143" s="29">
        <f aca="true" t="shared" si="40" ref="B143:K143">B140+B141+B142</f>
        <v>296.56</v>
      </c>
      <c r="C143" s="29">
        <f t="shared" si="40"/>
        <v>4893.240000000001</v>
      </c>
      <c r="D143" s="29">
        <f t="shared" si="40"/>
        <v>19932.899999999998</v>
      </c>
      <c r="E143" s="29">
        <f t="shared" si="40"/>
        <v>22871.91</v>
      </c>
      <c r="F143" s="29">
        <f t="shared" si="40"/>
        <v>26308.2</v>
      </c>
      <c r="G143" s="29">
        <f t="shared" si="40"/>
        <v>129451.8</v>
      </c>
      <c r="H143" s="29">
        <f t="shared" si="40"/>
        <v>122982.01</v>
      </c>
      <c r="I143" s="29">
        <f t="shared" si="40"/>
        <v>46079.7</v>
      </c>
      <c r="J143" s="29">
        <f t="shared" si="40"/>
        <v>378479.43999999994</v>
      </c>
      <c r="K143" s="29">
        <f t="shared" si="40"/>
        <v>0</v>
      </c>
      <c r="L143" s="2">
        <f t="shared" si="29"/>
        <v>751295.76</v>
      </c>
    </row>
    <row r="144" spans="1:12" ht="12.75">
      <c r="A144" s="14">
        <v>45139</v>
      </c>
      <c r="B144" s="29">
        <f>296.56+6.08-6.08</f>
        <v>296.56</v>
      </c>
      <c r="C144" s="29">
        <f>4852.8+45.37-4.93</f>
        <v>4893.24</v>
      </c>
      <c r="D144" s="29">
        <f>12000+1200-5.55</f>
        <v>13194.45</v>
      </c>
      <c r="E144" s="29">
        <f>32000-13143.13</f>
        <v>18856.870000000003</v>
      </c>
      <c r="F144" s="29">
        <f>49000-22046.2</f>
        <v>26953.8</v>
      </c>
      <c r="G144" s="11">
        <f>139000-19368.6</f>
        <v>119631.4</v>
      </c>
      <c r="H144" s="32">
        <f>73000+12230.23+8523-18.94</f>
        <v>93734.29</v>
      </c>
      <c r="I144" s="32">
        <f>29000+26000-688.9</f>
        <v>54311.1</v>
      </c>
      <c r="J144" s="35">
        <f>163000-16557+32009.92-83.28</f>
        <v>178369.63999999998</v>
      </c>
      <c r="K144" s="35">
        <v>0</v>
      </c>
      <c r="L144" s="2">
        <f t="shared" si="29"/>
        <v>510241.35</v>
      </c>
    </row>
    <row r="145" spans="1:12" ht="25.5">
      <c r="A145" s="74" t="s">
        <v>53</v>
      </c>
      <c r="B145" s="53">
        <v>0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2">
        <f t="shared" si="29"/>
        <v>0</v>
      </c>
    </row>
    <row r="146" spans="1:12" ht="25.5">
      <c r="A146" s="74" t="s">
        <v>54</v>
      </c>
      <c r="B146" s="53">
        <v>0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35892</v>
      </c>
      <c r="I146" s="53">
        <v>40.35</v>
      </c>
      <c r="J146" s="52">
        <v>208526</v>
      </c>
      <c r="K146" s="52">
        <v>0</v>
      </c>
      <c r="L146" s="2">
        <f t="shared" si="29"/>
        <v>244458.35</v>
      </c>
    </row>
    <row r="147" spans="1:12" ht="25.5">
      <c r="A147" s="47" t="s">
        <v>94</v>
      </c>
      <c r="B147" s="53">
        <v>0</v>
      </c>
      <c r="C147" s="53">
        <v>0</v>
      </c>
      <c r="D147" s="53">
        <v>0</v>
      </c>
      <c r="E147" s="53">
        <v>0</v>
      </c>
      <c r="F147" s="53">
        <v>121.05</v>
      </c>
      <c r="G147" s="53">
        <v>0</v>
      </c>
      <c r="H147" s="53">
        <v>0</v>
      </c>
      <c r="I147" s="53">
        <v>0</v>
      </c>
      <c r="J147" s="52">
        <v>0</v>
      </c>
      <c r="K147" s="52">
        <v>0</v>
      </c>
      <c r="L147" s="2">
        <f t="shared" si="29"/>
        <v>121.05</v>
      </c>
    </row>
    <row r="148" spans="1:12" ht="25.5">
      <c r="A148" s="60" t="s">
        <v>55</v>
      </c>
      <c r="B148" s="29">
        <f aca="true" t="shared" si="41" ref="B148:G148">SUM(B144:B147)</f>
        <v>296.56</v>
      </c>
      <c r="C148" s="29">
        <f t="shared" si="41"/>
        <v>4893.24</v>
      </c>
      <c r="D148" s="29">
        <f t="shared" si="41"/>
        <v>13194.45</v>
      </c>
      <c r="E148" s="29">
        <f t="shared" si="41"/>
        <v>18856.870000000003</v>
      </c>
      <c r="F148" s="29">
        <f t="shared" si="41"/>
        <v>27074.85</v>
      </c>
      <c r="G148" s="29">
        <f t="shared" si="41"/>
        <v>119631.4</v>
      </c>
      <c r="H148" s="29">
        <f>SUM(H144:H146)</f>
        <v>129626.29</v>
      </c>
      <c r="I148" s="29">
        <f>SUM(I144:I146)</f>
        <v>54351.45</v>
      </c>
      <c r="J148" s="29">
        <f>SUM(J144:J146)</f>
        <v>386895.64</v>
      </c>
      <c r="K148" s="29">
        <f>SUM(K144:K146)</f>
        <v>0</v>
      </c>
      <c r="L148" s="2">
        <f t="shared" si="29"/>
        <v>754820.75</v>
      </c>
    </row>
    <row r="149" spans="1:12" ht="12.75">
      <c r="A149" s="14">
        <v>45170</v>
      </c>
      <c r="B149" s="29">
        <f>296.56+5.85-5.85</f>
        <v>296.56</v>
      </c>
      <c r="C149" s="29">
        <f>4852.8+2.37-2.37</f>
        <v>4852.8</v>
      </c>
      <c r="D149" s="11">
        <f>14000-1200+63.77+4000-37.82</f>
        <v>16825.95</v>
      </c>
      <c r="E149" s="29">
        <f>34000-19524.31</f>
        <v>14475.689999999999</v>
      </c>
      <c r="F149" s="29">
        <f>49000-19262.05</f>
        <v>29737.95</v>
      </c>
      <c r="G149" s="29">
        <f>142000-1779.84</f>
        <v>140220.16</v>
      </c>
      <c r="H149" s="32">
        <f>76000-8523+16.88+10145.83-97.11</f>
        <v>77542.6</v>
      </c>
      <c r="I149" s="32">
        <f>33000+15134.9+48.97-1.42</f>
        <v>48182.450000000004</v>
      </c>
      <c r="J149" s="35">
        <f>165000+15.67+27222.26-311.37</f>
        <v>191926.56000000003</v>
      </c>
      <c r="K149" s="35">
        <v>0</v>
      </c>
      <c r="L149" s="2">
        <f t="shared" si="29"/>
        <v>524060.72</v>
      </c>
    </row>
    <row r="150" spans="1:12" ht="25.5">
      <c r="A150" s="74" t="s">
        <v>86</v>
      </c>
      <c r="B150" s="53">
        <v>0</v>
      </c>
      <c r="C150" s="53">
        <v>0</v>
      </c>
      <c r="D150" s="53">
        <v>0</v>
      </c>
      <c r="E150" s="53">
        <v>0</v>
      </c>
      <c r="F150" s="53">
        <v>0</v>
      </c>
      <c r="G150" s="53">
        <v>0</v>
      </c>
      <c r="H150" s="53">
        <v>0</v>
      </c>
      <c r="I150" s="53">
        <v>0</v>
      </c>
      <c r="J150" s="52">
        <v>0</v>
      </c>
      <c r="K150" s="75">
        <v>0</v>
      </c>
      <c r="L150" s="2">
        <f t="shared" si="29"/>
        <v>0</v>
      </c>
    </row>
    <row r="151" spans="1:12" ht="38.25">
      <c r="A151" s="74" t="s">
        <v>87</v>
      </c>
      <c r="B151" s="53">
        <v>0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50450</v>
      </c>
      <c r="I151" s="53">
        <v>0</v>
      </c>
      <c r="J151" s="52">
        <v>198691.64</v>
      </c>
      <c r="K151" s="75">
        <v>0</v>
      </c>
      <c r="L151" s="2">
        <f t="shared" si="29"/>
        <v>249141.64</v>
      </c>
    </row>
    <row r="152" spans="1:12" ht="38.25">
      <c r="A152" s="60" t="s">
        <v>88</v>
      </c>
      <c r="B152" s="29">
        <f aca="true" t="shared" si="42" ref="B152:K152">B149+B150+B151</f>
        <v>296.56</v>
      </c>
      <c r="C152" s="29">
        <f t="shared" si="42"/>
        <v>4852.8</v>
      </c>
      <c r="D152" s="29">
        <f t="shared" si="42"/>
        <v>16825.95</v>
      </c>
      <c r="E152" s="29">
        <f t="shared" si="42"/>
        <v>14475.689999999999</v>
      </c>
      <c r="F152" s="29">
        <f t="shared" si="42"/>
        <v>29737.95</v>
      </c>
      <c r="G152" s="29">
        <f t="shared" si="42"/>
        <v>140220.16</v>
      </c>
      <c r="H152" s="29">
        <f t="shared" si="42"/>
        <v>127992.6</v>
      </c>
      <c r="I152" s="29">
        <f t="shared" si="42"/>
        <v>48182.450000000004</v>
      </c>
      <c r="J152" s="29">
        <f t="shared" si="42"/>
        <v>390618.20000000007</v>
      </c>
      <c r="K152" s="29">
        <f t="shared" si="42"/>
        <v>0</v>
      </c>
      <c r="L152" s="2">
        <f t="shared" si="29"/>
        <v>773202.3600000001</v>
      </c>
    </row>
    <row r="153" spans="1:12" ht="12.75">
      <c r="A153" s="15" t="s">
        <v>59</v>
      </c>
      <c r="B153" s="20">
        <f aca="true" t="shared" si="43" ref="B153:K153">B140+B144+B149</f>
        <v>889.6800000000001</v>
      </c>
      <c r="C153" s="20">
        <f t="shared" si="43"/>
        <v>14639.279999999999</v>
      </c>
      <c r="D153" s="20">
        <f t="shared" si="43"/>
        <v>49953.3</v>
      </c>
      <c r="E153" s="20">
        <f t="shared" si="43"/>
        <v>56204.47</v>
      </c>
      <c r="F153" s="20">
        <f t="shared" si="43"/>
        <v>82999.95</v>
      </c>
      <c r="G153" s="20">
        <f t="shared" si="43"/>
        <v>389303.36</v>
      </c>
      <c r="H153" s="20">
        <f t="shared" si="43"/>
        <v>245266.9</v>
      </c>
      <c r="I153" s="20">
        <f t="shared" si="43"/>
        <v>148573.25</v>
      </c>
      <c r="J153" s="20">
        <f t="shared" si="43"/>
        <v>552415.64</v>
      </c>
      <c r="K153" s="20">
        <f t="shared" si="43"/>
        <v>0</v>
      </c>
      <c r="L153" s="2">
        <f t="shared" si="29"/>
        <v>1540245.83</v>
      </c>
    </row>
    <row r="154" spans="1:12" ht="25.5">
      <c r="A154" s="49" t="s">
        <v>60</v>
      </c>
      <c r="B154" s="20">
        <f aca="true" t="shared" si="44" ref="B154:K154">B142+B146+B151</f>
        <v>0</v>
      </c>
      <c r="C154" s="20">
        <f t="shared" si="44"/>
        <v>0</v>
      </c>
      <c r="D154" s="20">
        <f t="shared" si="44"/>
        <v>0</v>
      </c>
      <c r="E154" s="20">
        <f t="shared" si="44"/>
        <v>0</v>
      </c>
      <c r="F154" s="20">
        <f t="shared" si="44"/>
        <v>0</v>
      </c>
      <c r="G154" s="20">
        <f t="shared" si="44"/>
        <v>0</v>
      </c>
      <c r="H154" s="20">
        <f t="shared" si="44"/>
        <v>135334</v>
      </c>
      <c r="I154" s="20">
        <f t="shared" si="44"/>
        <v>40.35</v>
      </c>
      <c r="J154" s="20">
        <f t="shared" si="44"/>
        <v>603577.64</v>
      </c>
      <c r="K154" s="20">
        <f t="shared" si="44"/>
        <v>0</v>
      </c>
      <c r="L154" s="2">
        <f t="shared" si="29"/>
        <v>738951.99</v>
      </c>
    </row>
    <row r="155" spans="1:12" ht="25.5">
      <c r="A155" s="49" t="s">
        <v>61</v>
      </c>
      <c r="B155" s="20">
        <f>B141+B145+B150</f>
        <v>0</v>
      </c>
      <c r="C155" s="20">
        <f aca="true" t="shared" si="45" ref="C155:K155">C145+C150</f>
        <v>0</v>
      </c>
      <c r="D155" s="20">
        <f t="shared" si="45"/>
        <v>0</v>
      </c>
      <c r="E155" s="20">
        <f t="shared" si="45"/>
        <v>0</v>
      </c>
      <c r="F155" s="20">
        <f t="shared" si="45"/>
        <v>0</v>
      </c>
      <c r="G155" s="20">
        <f t="shared" si="45"/>
        <v>0</v>
      </c>
      <c r="H155" s="20">
        <f t="shared" si="45"/>
        <v>0</v>
      </c>
      <c r="I155" s="20">
        <f t="shared" si="45"/>
        <v>0</v>
      </c>
      <c r="J155" s="20">
        <f t="shared" si="45"/>
        <v>0</v>
      </c>
      <c r="K155" s="20">
        <f t="shared" si="45"/>
        <v>0</v>
      </c>
      <c r="L155" s="2">
        <f t="shared" si="29"/>
        <v>0</v>
      </c>
    </row>
    <row r="156" spans="1:12" ht="25.5">
      <c r="A156" s="49" t="s">
        <v>96</v>
      </c>
      <c r="B156" s="20">
        <f>B147</f>
        <v>0</v>
      </c>
      <c r="C156" s="20">
        <f>C147</f>
        <v>0</v>
      </c>
      <c r="D156" s="20">
        <f aca="true" t="shared" si="46" ref="D156:K156">D147</f>
        <v>0</v>
      </c>
      <c r="E156" s="20">
        <f t="shared" si="46"/>
        <v>0</v>
      </c>
      <c r="F156" s="20">
        <f t="shared" si="46"/>
        <v>121.05</v>
      </c>
      <c r="G156" s="20">
        <f t="shared" si="46"/>
        <v>0</v>
      </c>
      <c r="H156" s="20">
        <f t="shared" si="46"/>
        <v>0</v>
      </c>
      <c r="I156" s="20">
        <f t="shared" si="46"/>
        <v>0</v>
      </c>
      <c r="J156" s="20">
        <f t="shared" si="46"/>
        <v>0</v>
      </c>
      <c r="K156" s="20">
        <f t="shared" si="46"/>
        <v>0</v>
      </c>
      <c r="L156" s="2">
        <f t="shared" si="29"/>
        <v>121.05</v>
      </c>
    </row>
    <row r="157" spans="1:12" ht="38.25">
      <c r="A157" s="49" t="s">
        <v>62</v>
      </c>
      <c r="B157" s="20">
        <f aca="true" t="shared" si="47" ref="B157:K157">B153+B154+B155</f>
        <v>889.6800000000001</v>
      </c>
      <c r="C157" s="20">
        <f t="shared" si="47"/>
        <v>14639.279999999999</v>
      </c>
      <c r="D157" s="20">
        <f t="shared" si="47"/>
        <v>49953.3</v>
      </c>
      <c r="E157" s="20">
        <f t="shared" si="47"/>
        <v>56204.47</v>
      </c>
      <c r="F157" s="20">
        <f t="shared" si="47"/>
        <v>82999.95</v>
      </c>
      <c r="G157" s="20">
        <f t="shared" si="47"/>
        <v>389303.36</v>
      </c>
      <c r="H157" s="20">
        <f t="shared" si="47"/>
        <v>380600.9</v>
      </c>
      <c r="I157" s="20">
        <f t="shared" si="47"/>
        <v>148613.6</v>
      </c>
      <c r="J157" s="20">
        <f t="shared" si="47"/>
        <v>1155993.28</v>
      </c>
      <c r="K157" s="20">
        <f t="shared" si="47"/>
        <v>0</v>
      </c>
      <c r="L157" s="2">
        <f t="shared" si="29"/>
        <v>2279197.8200000003</v>
      </c>
    </row>
    <row r="158" spans="1:12" ht="51">
      <c r="A158" s="49" t="s">
        <v>95</v>
      </c>
      <c r="B158" s="20">
        <f>B153+B154+B155+B156</f>
        <v>889.6800000000001</v>
      </c>
      <c r="C158" s="20">
        <f aca="true" t="shared" si="48" ref="C158:K158">C153+C154+C155+C156</f>
        <v>14639.279999999999</v>
      </c>
      <c r="D158" s="20">
        <f t="shared" si="48"/>
        <v>49953.3</v>
      </c>
      <c r="E158" s="20">
        <f t="shared" si="48"/>
        <v>56204.47</v>
      </c>
      <c r="F158" s="20">
        <f t="shared" si="48"/>
        <v>83121</v>
      </c>
      <c r="G158" s="20">
        <f t="shared" si="48"/>
        <v>389303.36</v>
      </c>
      <c r="H158" s="20">
        <f t="shared" si="48"/>
        <v>380600.9</v>
      </c>
      <c r="I158" s="20">
        <f t="shared" si="48"/>
        <v>148613.6</v>
      </c>
      <c r="J158" s="20">
        <f t="shared" si="48"/>
        <v>1155993.28</v>
      </c>
      <c r="K158" s="20">
        <f t="shared" si="48"/>
        <v>0</v>
      </c>
      <c r="L158" s="2">
        <f t="shared" si="29"/>
        <v>2279318.87</v>
      </c>
    </row>
    <row r="159" spans="1:12" ht="12.75">
      <c r="A159" s="14">
        <v>45200</v>
      </c>
      <c r="B159" s="11">
        <f>296.56+6.08-46.52</f>
        <v>256.12</v>
      </c>
      <c r="C159" s="29">
        <f>4852.8+4.93-4.93</f>
        <v>4852.8</v>
      </c>
      <c r="D159" s="11">
        <f>12000+1134.29+10700.32+5.55-74.01</f>
        <v>23766.15</v>
      </c>
      <c r="E159" s="29">
        <f>30000+3164.87-15214</f>
        <v>17950.870000000003</v>
      </c>
      <c r="F159" s="29">
        <f>49000-7213.6-18262.35</f>
        <v>23524.050000000003</v>
      </c>
      <c r="G159" s="11">
        <f>140000-20180.48</f>
        <v>119819.52</v>
      </c>
      <c r="H159" s="32">
        <f>72000+18.94+5202.97</f>
        <v>77221.91</v>
      </c>
      <c r="I159" s="32">
        <f>30000+2914.44+24489.01+688.9-40.5</f>
        <v>58051.85</v>
      </c>
      <c r="J159" s="35">
        <f>162000+83.28+14165.63-624.35</f>
        <v>175624.56</v>
      </c>
      <c r="K159" s="35">
        <v>0</v>
      </c>
      <c r="L159" s="2">
        <f t="shared" si="29"/>
        <v>501067.83</v>
      </c>
    </row>
    <row r="160" spans="1:12" ht="25.5">
      <c r="A160" s="74" t="s">
        <v>63</v>
      </c>
      <c r="B160" s="53">
        <v>0</v>
      </c>
      <c r="C160" s="53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2">
        <v>0</v>
      </c>
      <c r="K160" s="75">
        <v>0</v>
      </c>
      <c r="L160" s="2">
        <f t="shared" si="29"/>
        <v>0</v>
      </c>
    </row>
    <row r="161" spans="1:12" ht="25.5">
      <c r="A161" s="74" t="s">
        <v>64</v>
      </c>
      <c r="B161" s="53">
        <v>0</v>
      </c>
      <c r="C161" s="53">
        <v>0</v>
      </c>
      <c r="D161" s="53">
        <v>0</v>
      </c>
      <c r="E161" s="53">
        <v>0</v>
      </c>
      <c r="F161" s="53">
        <v>0</v>
      </c>
      <c r="G161" s="53">
        <v>33961</v>
      </c>
      <c r="H161" s="53">
        <v>56643</v>
      </c>
      <c r="I161" s="53">
        <v>40.35</v>
      </c>
      <c r="J161" s="52">
        <v>255048.64</v>
      </c>
      <c r="K161" s="75">
        <v>0</v>
      </c>
      <c r="L161" s="2">
        <f t="shared" si="29"/>
        <v>345692.99</v>
      </c>
    </row>
    <row r="162" spans="1:12" ht="12.75">
      <c r="A162" s="60" t="s">
        <v>65</v>
      </c>
      <c r="B162" s="11">
        <f aca="true" t="shared" si="49" ref="B162:K162">SUM(B159:B161)</f>
        <v>256.12</v>
      </c>
      <c r="C162" s="11">
        <f t="shared" si="49"/>
        <v>4852.8</v>
      </c>
      <c r="D162" s="11">
        <f t="shared" si="49"/>
        <v>23766.15</v>
      </c>
      <c r="E162" s="11">
        <f t="shared" si="49"/>
        <v>17950.870000000003</v>
      </c>
      <c r="F162" s="11">
        <f t="shared" si="49"/>
        <v>23524.050000000003</v>
      </c>
      <c r="G162" s="11">
        <f t="shared" si="49"/>
        <v>153780.52000000002</v>
      </c>
      <c r="H162" s="11">
        <f t="shared" si="49"/>
        <v>133864.91</v>
      </c>
      <c r="I162" s="11">
        <f t="shared" si="49"/>
        <v>58092.2</v>
      </c>
      <c r="J162" s="11">
        <f t="shared" si="49"/>
        <v>430673.2</v>
      </c>
      <c r="K162" s="11">
        <f t="shared" si="49"/>
        <v>0</v>
      </c>
      <c r="L162" s="2">
        <f t="shared" si="29"/>
        <v>846760.8200000001</v>
      </c>
    </row>
    <row r="163" spans="1:12" ht="12.75">
      <c r="A163" s="38">
        <v>45231</v>
      </c>
      <c r="B163" s="120">
        <f>74.14+5.85+117.09-122.94</f>
        <v>74.13999999999999</v>
      </c>
      <c r="C163" s="120">
        <f>2830.8+2.37+1505.41+210.92</f>
        <v>4549.5</v>
      </c>
      <c r="D163" s="11">
        <f>7500+37.82+11517.03+4063.73-6131.23</f>
        <v>16987.35</v>
      </c>
      <c r="E163" s="11">
        <f>21000+10689.08-21076.1</f>
        <v>10612.980000000003</v>
      </c>
      <c r="F163" s="11">
        <f>30000+15532.06-12324.01</f>
        <v>33208.049999999996</v>
      </c>
      <c r="G163" s="120">
        <f>85000+1779.84+43807.15-17761.67</f>
        <v>112825.31999999999</v>
      </c>
      <c r="H163" s="32">
        <f>45000+97.11+22965.26-3.49</f>
        <v>68058.87999999999</v>
      </c>
      <c r="I163" s="32">
        <f>19000+1.42+27269.33+9872.01-10.56</f>
        <v>56132.200000000004</v>
      </c>
      <c r="J163" s="35">
        <f>100000+311.37+50457.78-155.95</f>
        <v>150613.19999999998</v>
      </c>
      <c r="K163" s="31">
        <f>2840.43-240.43</f>
        <v>2600</v>
      </c>
      <c r="L163" s="2">
        <f t="shared" si="29"/>
        <v>455661.62</v>
      </c>
    </row>
    <row r="164" spans="1:12" ht="25.5">
      <c r="A164" s="74" t="s">
        <v>66</v>
      </c>
      <c r="B164" s="53">
        <v>0</v>
      </c>
      <c r="C164" s="105">
        <v>0</v>
      </c>
      <c r="D164" s="53">
        <v>0</v>
      </c>
      <c r="E164" s="105">
        <v>0</v>
      </c>
      <c r="F164" s="53">
        <v>0</v>
      </c>
      <c r="G164" s="53">
        <v>0</v>
      </c>
      <c r="H164" s="53">
        <v>0</v>
      </c>
      <c r="I164" s="53">
        <v>0</v>
      </c>
      <c r="J164" s="52">
        <v>0</v>
      </c>
      <c r="K164" s="52">
        <v>0</v>
      </c>
      <c r="L164" s="2">
        <f t="shared" si="29"/>
        <v>0</v>
      </c>
    </row>
    <row r="165" spans="1:12" ht="25.5">
      <c r="A165" s="74" t="s">
        <v>67</v>
      </c>
      <c r="B165" s="53">
        <v>0</v>
      </c>
      <c r="C165" s="105">
        <v>0</v>
      </c>
      <c r="D165" s="53">
        <v>0</v>
      </c>
      <c r="E165" s="105">
        <v>0</v>
      </c>
      <c r="F165" s="53">
        <v>0</v>
      </c>
      <c r="G165" s="53">
        <v>20865</v>
      </c>
      <c r="H165" s="53">
        <v>50740</v>
      </c>
      <c r="I165" s="53">
        <v>80.7</v>
      </c>
      <c r="J165" s="52">
        <v>240951</v>
      </c>
      <c r="K165" s="52">
        <v>0</v>
      </c>
      <c r="L165" s="2">
        <f t="shared" si="29"/>
        <v>312636.7</v>
      </c>
    </row>
    <row r="166" spans="1:12" ht="12.75">
      <c r="A166" s="60" t="s">
        <v>68</v>
      </c>
      <c r="B166" s="42">
        <f aca="true" t="shared" si="50" ref="B166:K166">SUM(B163:B165)</f>
        <v>74.13999999999999</v>
      </c>
      <c r="C166" s="42">
        <f t="shared" si="50"/>
        <v>4549.5</v>
      </c>
      <c r="D166" s="42">
        <f t="shared" si="50"/>
        <v>16987.35</v>
      </c>
      <c r="E166" s="42">
        <f t="shared" si="50"/>
        <v>10612.980000000003</v>
      </c>
      <c r="F166" s="42">
        <f t="shared" si="50"/>
        <v>33208.049999999996</v>
      </c>
      <c r="G166" s="42">
        <f t="shared" si="50"/>
        <v>133690.32</v>
      </c>
      <c r="H166" s="42">
        <f t="shared" si="50"/>
        <v>118798.87999999999</v>
      </c>
      <c r="I166" s="42">
        <f t="shared" si="50"/>
        <v>56212.9</v>
      </c>
      <c r="J166" s="42">
        <f t="shared" si="50"/>
        <v>391564.19999999995</v>
      </c>
      <c r="K166" s="42">
        <f t="shared" si="50"/>
        <v>2600</v>
      </c>
      <c r="L166" s="2">
        <f t="shared" si="29"/>
        <v>768298.32</v>
      </c>
    </row>
    <row r="167" spans="1:12" ht="12.75">
      <c r="A167" s="14">
        <v>45261</v>
      </c>
      <c r="B167" s="120">
        <f>39.63+46.52+249.7</f>
        <v>335.85</v>
      </c>
      <c r="C167" s="120">
        <f>1900.99+4.93-210.92+3210.48+122.94</f>
        <v>5028.419999999999</v>
      </c>
      <c r="D167" s="120">
        <f>5223.81+74.01+9221.85+8542.39-6062.06</f>
        <v>17000</v>
      </c>
      <c r="E167" s="120">
        <f>15344.33+22390.06-21734.39</f>
        <v>16000</v>
      </c>
      <c r="F167" s="120">
        <f>24834.25+34024.67-33858.92</f>
        <v>25000</v>
      </c>
      <c r="G167" s="120">
        <f>50103.53+91476.15-21579.68</f>
        <v>120000</v>
      </c>
      <c r="H167" s="32">
        <f>32000.72+6286.34+50356.96+3.49+17937.09+31161.41</f>
        <v>137746.00999999998</v>
      </c>
      <c r="I167" s="32">
        <f>11811.86+40.5+24254.5+20682.28+10.56-16799.7</f>
        <v>40000</v>
      </c>
      <c r="J167" s="35">
        <f>70038.5+624.35+13894.14+108136.85+155.95+39644.77+68873.34</f>
        <v>301367.9</v>
      </c>
      <c r="K167" s="31">
        <f>400+6948.22</f>
        <v>7348.22</v>
      </c>
      <c r="L167" s="2">
        <f t="shared" si="29"/>
        <v>669826.4</v>
      </c>
    </row>
    <row r="168" spans="1:12" ht="25.5">
      <c r="A168" s="74" t="s">
        <v>69</v>
      </c>
      <c r="B168" s="76"/>
      <c r="C168" s="76"/>
      <c r="D168" s="76"/>
      <c r="E168" s="76"/>
      <c r="F168" s="76"/>
      <c r="G168" s="76"/>
      <c r="H168" s="76"/>
      <c r="I168" s="75"/>
      <c r="J168" s="75"/>
      <c r="K168" s="75"/>
      <c r="L168" s="2">
        <f t="shared" si="29"/>
        <v>0</v>
      </c>
    </row>
    <row r="169" spans="1:12" ht="25.5">
      <c r="A169" s="74" t="s">
        <v>70</v>
      </c>
      <c r="B169" s="76"/>
      <c r="C169" s="76"/>
      <c r="D169" s="76"/>
      <c r="E169" s="76"/>
      <c r="F169" s="76"/>
      <c r="G169" s="76"/>
      <c r="H169" s="76"/>
      <c r="I169" s="75"/>
      <c r="J169" s="75"/>
      <c r="K169" s="75"/>
      <c r="L169" s="2">
        <f t="shared" si="29"/>
        <v>0</v>
      </c>
    </row>
    <row r="170" spans="1:12" ht="12.75">
      <c r="A170" s="60" t="s">
        <v>71</v>
      </c>
      <c r="B170" s="42">
        <f aca="true" t="shared" si="51" ref="B170:K170">SUM(B167:B169)</f>
        <v>335.85</v>
      </c>
      <c r="C170" s="42">
        <f t="shared" si="51"/>
        <v>5028.419999999999</v>
      </c>
      <c r="D170" s="42">
        <f t="shared" si="51"/>
        <v>17000</v>
      </c>
      <c r="E170" s="42">
        <f t="shared" si="51"/>
        <v>16000</v>
      </c>
      <c r="F170" s="42">
        <f t="shared" si="51"/>
        <v>25000</v>
      </c>
      <c r="G170" s="42">
        <f t="shared" si="51"/>
        <v>120000</v>
      </c>
      <c r="H170" s="42">
        <f t="shared" si="51"/>
        <v>137746.00999999998</v>
      </c>
      <c r="I170" s="42">
        <f t="shared" si="51"/>
        <v>40000</v>
      </c>
      <c r="J170" s="42">
        <f t="shared" si="51"/>
        <v>301367.9</v>
      </c>
      <c r="K170" s="42">
        <f t="shared" si="51"/>
        <v>7348.22</v>
      </c>
      <c r="L170" s="2">
        <f t="shared" si="29"/>
        <v>669826.4</v>
      </c>
    </row>
    <row r="171" spans="1:12" ht="25.5">
      <c r="A171" s="5" t="s">
        <v>72</v>
      </c>
      <c r="B171" s="20">
        <f>B159+B163+B167</f>
        <v>666.11</v>
      </c>
      <c r="C171" s="20">
        <f aca="true" t="shared" si="52" ref="C171:K171">C159+C163+C167</f>
        <v>14430.719999999998</v>
      </c>
      <c r="D171" s="20">
        <f t="shared" si="52"/>
        <v>57753.5</v>
      </c>
      <c r="E171" s="20">
        <f t="shared" si="52"/>
        <v>44563.850000000006</v>
      </c>
      <c r="F171" s="20">
        <f t="shared" si="52"/>
        <v>81732.1</v>
      </c>
      <c r="G171" s="20">
        <f t="shared" si="52"/>
        <v>352644.83999999997</v>
      </c>
      <c r="H171" s="20">
        <f t="shared" si="52"/>
        <v>283026.79999999993</v>
      </c>
      <c r="I171" s="20">
        <f t="shared" si="52"/>
        <v>154184.05</v>
      </c>
      <c r="J171" s="20">
        <f t="shared" si="52"/>
        <v>627605.66</v>
      </c>
      <c r="K171" s="20">
        <f t="shared" si="52"/>
        <v>9948.220000000001</v>
      </c>
      <c r="L171" s="2">
        <f t="shared" si="29"/>
        <v>1626555.8499999999</v>
      </c>
    </row>
    <row r="172" spans="1:12" ht="25.5">
      <c r="A172" s="49" t="s">
        <v>73</v>
      </c>
      <c r="B172" s="20">
        <f>B161+B165+B169</f>
        <v>0</v>
      </c>
      <c r="C172" s="20">
        <f aca="true" t="shared" si="53" ref="C172:K172">C161+C165</f>
        <v>0</v>
      </c>
      <c r="D172" s="20">
        <f t="shared" si="53"/>
        <v>0</v>
      </c>
      <c r="E172" s="20">
        <f t="shared" si="53"/>
        <v>0</v>
      </c>
      <c r="F172" s="20">
        <f t="shared" si="53"/>
        <v>0</v>
      </c>
      <c r="G172" s="20">
        <f t="shared" si="53"/>
        <v>54826</v>
      </c>
      <c r="H172" s="20">
        <f t="shared" si="53"/>
        <v>107383</v>
      </c>
      <c r="I172" s="20">
        <f t="shared" si="53"/>
        <v>121.05000000000001</v>
      </c>
      <c r="J172" s="20">
        <f t="shared" si="53"/>
        <v>495999.64</v>
      </c>
      <c r="K172" s="20">
        <f t="shared" si="53"/>
        <v>0</v>
      </c>
      <c r="L172" s="2">
        <f t="shared" si="29"/>
        <v>658329.69</v>
      </c>
    </row>
    <row r="173" spans="1:12" ht="25.5">
      <c r="A173" s="49" t="s">
        <v>74</v>
      </c>
      <c r="B173" s="20">
        <f>B160+B164+B168</f>
        <v>0</v>
      </c>
      <c r="C173" s="20">
        <f aca="true" t="shared" si="54" ref="C173:K173">C160+C164</f>
        <v>0</v>
      </c>
      <c r="D173" s="20">
        <f t="shared" si="54"/>
        <v>0</v>
      </c>
      <c r="E173" s="20">
        <f t="shared" si="54"/>
        <v>0</v>
      </c>
      <c r="F173" s="20">
        <f t="shared" si="54"/>
        <v>0</v>
      </c>
      <c r="G173" s="20">
        <f t="shared" si="54"/>
        <v>0</v>
      </c>
      <c r="H173" s="20">
        <f t="shared" si="54"/>
        <v>0</v>
      </c>
      <c r="I173" s="20">
        <f t="shared" si="54"/>
        <v>0</v>
      </c>
      <c r="J173" s="20">
        <f t="shared" si="54"/>
        <v>0</v>
      </c>
      <c r="K173" s="20">
        <f t="shared" si="54"/>
        <v>0</v>
      </c>
      <c r="L173" s="2">
        <f aca="true" t="shared" si="55" ref="L173:L180">B173+C173+D173+E173+F173+G173+H173+I173+J173+K173</f>
        <v>0</v>
      </c>
    </row>
    <row r="174" spans="1:12" ht="38.25">
      <c r="A174" s="49" t="s">
        <v>75</v>
      </c>
      <c r="B174" s="20">
        <f aca="true" t="shared" si="56" ref="B174:K174">SUM(B171:B173)</f>
        <v>666.11</v>
      </c>
      <c r="C174" s="20">
        <f t="shared" si="56"/>
        <v>14430.719999999998</v>
      </c>
      <c r="D174" s="20">
        <f t="shared" si="56"/>
        <v>57753.5</v>
      </c>
      <c r="E174" s="20">
        <f t="shared" si="56"/>
        <v>44563.850000000006</v>
      </c>
      <c r="F174" s="20">
        <f t="shared" si="56"/>
        <v>81732.1</v>
      </c>
      <c r="G174" s="20">
        <f t="shared" si="56"/>
        <v>407470.83999999997</v>
      </c>
      <c r="H174" s="20">
        <f t="shared" si="56"/>
        <v>390409.79999999993</v>
      </c>
      <c r="I174" s="20">
        <f t="shared" si="56"/>
        <v>154305.09999999998</v>
      </c>
      <c r="J174" s="20">
        <f t="shared" si="56"/>
        <v>1123605.3</v>
      </c>
      <c r="K174" s="20">
        <f t="shared" si="56"/>
        <v>9948.220000000001</v>
      </c>
      <c r="L174" s="2">
        <f t="shared" si="55"/>
        <v>2284885.5400000005</v>
      </c>
    </row>
    <row r="175" spans="1:12" ht="25.5">
      <c r="A175" s="19" t="s">
        <v>76</v>
      </c>
      <c r="B175" s="20">
        <f aca="true" t="shared" si="57" ref="B175:K175">B120+B136+B153+B171</f>
        <v>7765.79</v>
      </c>
      <c r="C175" s="20">
        <f t="shared" si="57"/>
        <v>75450</v>
      </c>
      <c r="D175" s="20">
        <f t="shared" si="57"/>
        <v>180029.8</v>
      </c>
      <c r="E175" s="20">
        <f t="shared" si="57"/>
        <v>180935.32</v>
      </c>
      <c r="F175" s="20">
        <f t="shared" si="57"/>
        <v>334987.05000000005</v>
      </c>
      <c r="G175" s="20">
        <f t="shared" si="57"/>
        <v>1303448.2</v>
      </c>
      <c r="H175" s="20">
        <f t="shared" si="57"/>
        <v>1012871.7</v>
      </c>
      <c r="I175" s="20">
        <f t="shared" si="57"/>
        <v>443534.3</v>
      </c>
      <c r="J175" s="20">
        <f t="shared" si="57"/>
        <v>2138151.3000000003</v>
      </c>
      <c r="K175" s="20">
        <f t="shared" si="57"/>
        <v>9948.220000000001</v>
      </c>
      <c r="L175" s="2">
        <f t="shared" si="55"/>
        <v>5687121.68</v>
      </c>
    </row>
    <row r="176" spans="1:12" ht="38.25">
      <c r="A176" s="77" t="s">
        <v>77</v>
      </c>
      <c r="B176" s="79">
        <f aca="true" t="shared" si="58" ref="B176:K176">B121+B137+B154+B172</f>
        <v>0</v>
      </c>
      <c r="C176" s="79">
        <f t="shared" si="58"/>
        <v>0</v>
      </c>
      <c r="D176" s="79">
        <f t="shared" si="58"/>
        <v>0</v>
      </c>
      <c r="E176" s="79">
        <f t="shared" si="58"/>
        <v>0</v>
      </c>
      <c r="F176" s="79">
        <f t="shared" si="58"/>
        <v>0</v>
      </c>
      <c r="G176" s="79">
        <f t="shared" si="58"/>
        <v>78396</v>
      </c>
      <c r="H176" s="79">
        <f t="shared" si="58"/>
        <v>495103</v>
      </c>
      <c r="I176" s="79">
        <f t="shared" si="58"/>
        <v>289.4</v>
      </c>
      <c r="J176" s="79">
        <f t="shared" si="58"/>
        <v>2070287.2800000003</v>
      </c>
      <c r="K176" s="79">
        <f t="shared" si="58"/>
        <v>0</v>
      </c>
      <c r="L176" s="2">
        <f t="shared" si="55"/>
        <v>2644075.68</v>
      </c>
    </row>
    <row r="177" spans="1:12" ht="25.5">
      <c r="A177" s="77" t="s">
        <v>78</v>
      </c>
      <c r="B177" s="79">
        <f>B155+B173</f>
        <v>0</v>
      </c>
      <c r="C177" s="79">
        <f aca="true" t="shared" si="59" ref="C177:K177">C155+C173</f>
        <v>0</v>
      </c>
      <c r="D177" s="79">
        <f t="shared" si="59"/>
        <v>0</v>
      </c>
      <c r="E177" s="79">
        <f t="shared" si="59"/>
        <v>0</v>
      </c>
      <c r="F177" s="79">
        <f t="shared" si="59"/>
        <v>0</v>
      </c>
      <c r="G177" s="79">
        <f t="shared" si="59"/>
        <v>0</v>
      </c>
      <c r="H177" s="79">
        <f t="shared" si="59"/>
        <v>0</v>
      </c>
      <c r="I177" s="79">
        <f t="shared" si="59"/>
        <v>0</v>
      </c>
      <c r="J177" s="79">
        <f t="shared" si="59"/>
        <v>0</v>
      </c>
      <c r="K177" s="79">
        <f t="shared" si="59"/>
        <v>0</v>
      </c>
      <c r="L177" s="2">
        <f t="shared" si="55"/>
        <v>0</v>
      </c>
    </row>
    <row r="178" spans="1:12" ht="25.5">
      <c r="A178" s="77" t="s">
        <v>98</v>
      </c>
      <c r="B178" s="79">
        <f>B156</f>
        <v>0</v>
      </c>
      <c r="C178" s="79">
        <f aca="true" t="shared" si="60" ref="C178:K178">C156</f>
        <v>0</v>
      </c>
      <c r="D178" s="79">
        <f t="shared" si="60"/>
        <v>0</v>
      </c>
      <c r="E178" s="79">
        <f t="shared" si="60"/>
        <v>0</v>
      </c>
      <c r="F178" s="79">
        <f t="shared" si="60"/>
        <v>121.05</v>
      </c>
      <c r="G178" s="79">
        <f t="shared" si="60"/>
        <v>0</v>
      </c>
      <c r="H178" s="79">
        <f t="shared" si="60"/>
        <v>0</v>
      </c>
      <c r="I178" s="79">
        <f t="shared" si="60"/>
        <v>0</v>
      </c>
      <c r="J178" s="79">
        <f t="shared" si="60"/>
        <v>0</v>
      </c>
      <c r="K178" s="79">
        <f t="shared" si="60"/>
        <v>0</v>
      </c>
      <c r="L178" s="2">
        <f t="shared" si="55"/>
        <v>121.05</v>
      </c>
    </row>
    <row r="179" spans="1:12" ht="51">
      <c r="A179" s="19" t="s">
        <v>79</v>
      </c>
      <c r="B179" s="20">
        <f aca="true" t="shared" si="61" ref="B179:K179">B175+B176+B177</f>
        <v>7765.79</v>
      </c>
      <c r="C179" s="20">
        <f t="shared" si="61"/>
        <v>75450</v>
      </c>
      <c r="D179" s="20">
        <f t="shared" si="61"/>
        <v>180029.8</v>
      </c>
      <c r="E179" s="20">
        <f t="shared" si="61"/>
        <v>180935.32</v>
      </c>
      <c r="F179" s="20">
        <f t="shared" si="61"/>
        <v>334987.05000000005</v>
      </c>
      <c r="G179" s="20">
        <f t="shared" si="61"/>
        <v>1381844.2</v>
      </c>
      <c r="H179" s="20">
        <f t="shared" si="61"/>
        <v>1507974.7</v>
      </c>
      <c r="I179" s="20">
        <f t="shared" si="61"/>
        <v>443823.7</v>
      </c>
      <c r="J179" s="20">
        <f t="shared" si="61"/>
        <v>4208438.58</v>
      </c>
      <c r="K179" s="20">
        <f t="shared" si="61"/>
        <v>9948.220000000001</v>
      </c>
      <c r="L179" s="2">
        <f t="shared" si="55"/>
        <v>8331197.36</v>
      </c>
    </row>
    <row r="180" spans="1:12" ht="63.75">
      <c r="A180" s="19" t="s">
        <v>97</v>
      </c>
      <c r="B180" s="20">
        <f>B175+B176+B177+B178</f>
        <v>7765.79</v>
      </c>
      <c r="C180" s="20">
        <f aca="true" t="shared" si="62" ref="C180:K180">C175+C176+C177+C178</f>
        <v>75450</v>
      </c>
      <c r="D180" s="20">
        <f t="shared" si="62"/>
        <v>180029.8</v>
      </c>
      <c r="E180" s="20">
        <f t="shared" si="62"/>
        <v>180935.32</v>
      </c>
      <c r="F180" s="20">
        <f t="shared" si="62"/>
        <v>335108.10000000003</v>
      </c>
      <c r="G180" s="20">
        <f t="shared" si="62"/>
        <v>1381844.2</v>
      </c>
      <c r="H180" s="20">
        <f t="shared" si="62"/>
        <v>1507974.7</v>
      </c>
      <c r="I180" s="20">
        <f t="shared" si="62"/>
        <v>443823.7</v>
      </c>
      <c r="J180" s="20">
        <f t="shared" si="62"/>
        <v>4208438.58</v>
      </c>
      <c r="K180" s="20">
        <f t="shared" si="62"/>
        <v>9948.220000000001</v>
      </c>
      <c r="L180" s="2">
        <f t="shared" si="55"/>
        <v>8331318.41</v>
      </c>
    </row>
    <row r="181" spans="1:12" ht="12.75">
      <c r="A181" s="21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</row>
    <row r="182" spans="1:9" ht="12.75">
      <c r="A182" s="21"/>
      <c r="B182" s="22"/>
      <c r="C182" s="22"/>
      <c r="D182" s="22"/>
      <c r="E182" s="22"/>
      <c r="F182" s="23"/>
      <c r="G182" s="23"/>
      <c r="H182" s="24"/>
      <c r="I182" s="18"/>
    </row>
    <row r="183" spans="1:2" ht="12.75">
      <c r="A183" s="12"/>
      <c r="B183" s="26" t="s">
        <v>89</v>
      </c>
    </row>
    <row r="184" spans="1:9" ht="12.75">
      <c r="A184" s="68"/>
      <c r="B184" s="69"/>
      <c r="C184" s="116"/>
      <c r="D184" s="116"/>
      <c r="E184" s="72"/>
      <c r="F184" s="116"/>
      <c r="G184" s="116"/>
      <c r="H184" s="41"/>
      <c r="I184" s="41"/>
    </row>
    <row r="185" spans="1:9" ht="12.75">
      <c r="A185" s="109" t="s">
        <v>0</v>
      </c>
      <c r="B185" s="70" t="s">
        <v>19</v>
      </c>
      <c r="C185" s="72"/>
      <c r="D185" s="71"/>
      <c r="E185" s="71"/>
      <c r="F185" s="72"/>
      <c r="G185" s="71"/>
      <c r="H185" s="71"/>
      <c r="I185" s="72"/>
    </row>
    <row r="186" spans="1:9" ht="12.75">
      <c r="A186" s="109"/>
      <c r="B186" s="70" t="s">
        <v>20</v>
      </c>
      <c r="C186" s="17"/>
      <c r="D186" s="17"/>
      <c r="E186" s="25"/>
      <c r="F186" s="41"/>
      <c r="G186" s="41"/>
      <c r="H186" s="41"/>
      <c r="I186" s="41"/>
    </row>
    <row r="187" spans="1:9" ht="25.5">
      <c r="A187" s="5" t="s">
        <v>91</v>
      </c>
      <c r="B187" s="70"/>
      <c r="C187" s="17"/>
      <c r="D187" s="17"/>
      <c r="E187" s="25"/>
      <c r="F187" s="41"/>
      <c r="G187" s="41"/>
      <c r="H187" s="41"/>
      <c r="I187" s="41"/>
    </row>
    <row r="188" spans="1:11" ht="12.75">
      <c r="A188" s="14">
        <v>44927</v>
      </c>
      <c r="B188" s="31">
        <f>L108+D84+I7</f>
        <v>715673.13</v>
      </c>
      <c r="C188" s="9"/>
      <c r="D188" s="8"/>
      <c r="E188" s="8"/>
      <c r="F188" s="18"/>
      <c r="G188" s="18"/>
      <c r="H188" s="8"/>
      <c r="I188" s="8"/>
      <c r="J188" s="1"/>
      <c r="K188" s="1"/>
    </row>
    <row r="189" spans="1:11" ht="25.5">
      <c r="A189" s="74" t="s">
        <v>25</v>
      </c>
      <c r="B189" s="31">
        <f>L109+I8</f>
        <v>231985.64</v>
      </c>
      <c r="C189" s="86"/>
      <c r="D189" s="86"/>
      <c r="E189" s="86"/>
      <c r="F189" s="85"/>
      <c r="G189" s="85"/>
      <c r="H189" s="8"/>
      <c r="I189" s="8"/>
      <c r="J189" s="1"/>
      <c r="K189" s="1"/>
    </row>
    <row r="190" spans="1:11" ht="25.5">
      <c r="A190" s="74" t="s">
        <v>26</v>
      </c>
      <c r="B190" s="31">
        <f>L110+I9</f>
        <v>0</v>
      </c>
      <c r="C190" s="86"/>
      <c r="D190" s="86"/>
      <c r="E190" s="86"/>
      <c r="F190" s="85"/>
      <c r="G190" s="85"/>
      <c r="H190" s="8"/>
      <c r="I190" s="8"/>
      <c r="J190" s="1"/>
      <c r="K190" s="1"/>
    </row>
    <row r="191" spans="1:11" ht="25.5">
      <c r="A191" s="60" t="s">
        <v>27</v>
      </c>
      <c r="B191" s="13">
        <f>SUM(B188:B190)</f>
        <v>947658.77</v>
      </c>
      <c r="C191" s="18"/>
      <c r="D191" s="18"/>
      <c r="E191" s="18"/>
      <c r="F191" s="18"/>
      <c r="G191" s="18"/>
      <c r="H191" s="8"/>
      <c r="I191" s="8"/>
      <c r="J191" s="1"/>
      <c r="K191" s="1"/>
    </row>
    <row r="192" spans="1:9" ht="12.75">
      <c r="A192" s="14">
        <v>44958</v>
      </c>
      <c r="B192" s="31">
        <f>L112+D85+I11</f>
        <v>708551.97</v>
      </c>
      <c r="C192" s="9"/>
      <c r="D192" s="8"/>
      <c r="E192" s="8"/>
      <c r="F192" s="18"/>
      <c r="G192" s="18"/>
      <c r="H192" s="8"/>
      <c r="I192" s="8"/>
    </row>
    <row r="193" spans="1:9" ht="25.5">
      <c r="A193" s="47" t="s">
        <v>28</v>
      </c>
      <c r="B193" s="31">
        <f>L113+I12</f>
        <v>249209.85</v>
      </c>
      <c r="C193" s="87"/>
      <c r="D193" s="87"/>
      <c r="E193" s="87"/>
      <c r="F193" s="88"/>
      <c r="G193" s="88"/>
      <c r="H193" s="8"/>
      <c r="I193" s="8"/>
    </row>
    <row r="194" spans="1:9" ht="25.5">
      <c r="A194" s="47" t="s">
        <v>29</v>
      </c>
      <c r="B194" s="31">
        <f>L114+I13</f>
        <v>0</v>
      </c>
      <c r="C194" s="87"/>
      <c r="D194" s="87"/>
      <c r="E194" s="87"/>
      <c r="F194" s="88"/>
      <c r="G194" s="88"/>
      <c r="H194" s="8"/>
      <c r="I194" s="8"/>
    </row>
    <row r="195" spans="1:9" ht="25.5">
      <c r="A195" s="60" t="s">
        <v>30</v>
      </c>
      <c r="B195" s="13">
        <f>SUM(B192:B194)</f>
        <v>957761.82</v>
      </c>
      <c r="C195" s="18"/>
      <c r="D195" s="18"/>
      <c r="E195" s="18"/>
      <c r="F195" s="18"/>
      <c r="G195" s="18"/>
      <c r="H195" s="8"/>
      <c r="I195" s="8"/>
    </row>
    <row r="196" spans="1:9" ht="12.75">
      <c r="A196" s="14">
        <v>44986</v>
      </c>
      <c r="B196" s="31">
        <f>L116+D86+I15</f>
        <v>849740.03</v>
      </c>
      <c r="C196" s="9"/>
      <c r="D196" s="8"/>
      <c r="E196" s="8"/>
      <c r="F196" s="18"/>
      <c r="G196" s="18"/>
      <c r="H196" s="8"/>
      <c r="I196" s="8"/>
    </row>
    <row r="197" spans="1:9" ht="25.5">
      <c r="A197" s="74" t="s">
        <v>31</v>
      </c>
      <c r="B197" s="75">
        <f>L117+I16</f>
        <v>297455.17</v>
      </c>
      <c r="C197" s="87"/>
      <c r="D197" s="87"/>
      <c r="E197" s="87"/>
      <c r="F197" s="88"/>
      <c r="G197" s="88"/>
      <c r="H197" s="8"/>
      <c r="I197" s="8"/>
    </row>
    <row r="198" spans="1:9" ht="25.5">
      <c r="A198" s="74" t="s">
        <v>32</v>
      </c>
      <c r="B198" s="75">
        <f>L118+I17</f>
        <v>711.8100000000001</v>
      </c>
      <c r="C198" s="87"/>
      <c r="D198" s="87"/>
      <c r="E198" s="87"/>
      <c r="F198" s="88"/>
      <c r="G198" s="88"/>
      <c r="H198" s="8"/>
      <c r="I198" s="8"/>
    </row>
    <row r="199" spans="1:9" ht="25.5">
      <c r="A199" s="60" t="s">
        <v>33</v>
      </c>
      <c r="B199" s="13">
        <f>SUM(B196:B198)</f>
        <v>1147907.01</v>
      </c>
      <c r="C199" s="18"/>
      <c r="D199" s="18"/>
      <c r="E199" s="18"/>
      <c r="F199" s="18"/>
      <c r="G199" s="18"/>
      <c r="H199" s="8"/>
      <c r="I199" s="8"/>
    </row>
    <row r="200" spans="1:9" ht="12.75">
      <c r="A200" s="28" t="s">
        <v>34</v>
      </c>
      <c r="B200" s="66">
        <f>B188+B192+B196</f>
        <v>2273965.13</v>
      </c>
      <c r="C200" s="39"/>
      <c r="D200" s="39"/>
      <c r="E200" s="39"/>
      <c r="F200" s="18"/>
      <c r="G200" s="18"/>
      <c r="H200" s="18"/>
      <c r="I200" s="18"/>
    </row>
    <row r="201" spans="1:9" ht="25.5">
      <c r="A201" s="49" t="s">
        <v>35</v>
      </c>
      <c r="B201" s="66">
        <f>B189+B193+B197</f>
        <v>778650.6599999999</v>
      </c>
      <c r="C201" s="39"/>
      <c r="D201" s="39"/>
      <c r="E201" s="39"/>
      <c r="F201" s="18"/>
      <c r="G201" s="18"/>
      <c r="H201" s="18"/>
      <c r="I201" s="18"/>
    </row>
    <row r="202" spans="1:9" ht="25.5">
      <c r="A202" s="49" t="s">
        <v>36</v>
      </c>
      <c r="B202" s="66">
        <f>B190+B194+B198</f>
        <v>711.8100000000001</v>
      </c>
      <c r="C202" s="39"/>
      <c r="D202" s="39"/>
      <c r="E202" s="39"/>
      <c r="F202" s="39"/>
      <c r="G202" s="39"/>
      <c r="H202" s="18"/>
      <c r="I202" s="18"/>
    </row>
    <row r="203" spans="1:9" ht="38.25">
      <c r="A203" s="49" t="s">
        <v>84</v>
      </c>
      <c r="B203" s="66">
        <f>SUM(B200:B202)</f>
        <v>3053327.6</v>
      </c>
      <c r="C203" s="39"/>
      <c r="D203" s="39"/>
      <c r="E203" s="39"/>
      <c r="F203" s="39"/>
      <c r="G203" s="39"/>
      <c r="H203" s="18"/>
      <c r="I203" s="18"/>
    </row>
    <row r="204" spans="1:9" ht="12.75">
      <c r="A204" s="14">
        <v>45017</v>
      </c>
      <c r="B204" s="31">
        <f>L124+D88+I23</f>
        <v>810483.66</v>
      </c>
      <c r="C204" s="9"/>
      <c r="D204" s="8"/>
      <c r="E204" s="8"/>
      <c r="F204" s="18"/>
      <c r="G204" s="18"/>
      <c r="H204" s="8"/>
      <c r="I204" s="8"/>
    </row>
    <row r="205" spans="1:9" ht="25.5">
      <c r="A205" s="74" t="s">
        <v>38</v>
      </c>
      <c r="B205" s="31">
        <f>L125+I24</f>
        <v>223692.84</v>
      </c>
      <c r="C205" s="9"/>
      <c r="D205" s="8"/>
      <c r="E205" s="8"/>
      <c r="F205" s="18"/>
      <c r="G205" s="18"/>
      <c r="H205" s="8"/>
      <c r="I205" s="8"/>
    </row>
    <row r="206" spans="1:9" ht="25.5">
      <c r="A206" s="47" t="s">
        <v>39</v>
      </c>
      <c r="B206" s="31">
        <f>L126+I25</f>
        <v>0</v>
      </c>
      <c r="C206" s="9"/>
      <c r="D206" s="8"/>
      <c r="E206" s="8"/>
      <c r="F206" s="18"/>
      <c r="G206" s="18"/>
      <c r="H206" s="8"/>
      <c r="I206" s="8"/>
    </row>
    <row r="207" spans="1:9" ht="25.5">
      <c r="A207" s="93" t="s">
        <v>40</v>
      </c>
      <c r="B207" s="13">
        <f>B204+B205+B206</f>
        <v>1034176.5</v>
      </c>
      <c r="C207" s="18"/>
      <c r="D207" s="18"/>
      <c r="E207" s="18"/>
      <c r="F207" s="18"/>
      <c r="G207" s="18"/>
      <c r="H207" s="8"/>
      <c r="I207" s="8"/>
    </row>
    <row r="208" spans="1:9" ht="12.75">
      <c r="A208" s="14">
        <v>45047</v>
      </c>
      <c r="B208" s="31">
        <f>L128+D89+I27</f>
        <v>832023.23</v>
      </c>
      <c r="C208" s="9"/>
      <c r="D208" s="8"/>
      <c r="E208" s="8"/>
      <c r="F208" s="18"/>
      <c r="G208" s="18"/>
      <c r="H208" s="8"/>
      <c r="I208" s="8"/>
    </row>
    <row r="209" spans="1:9" ht="25.5">
      <c r="A209" s="47" t="s">
        <v>41</v>
      </c>
      <c r="B209" s="31">
        <f>L129+I28</f>
        <v>298933.88</v>
      </c>
      <c r="C209" s="9"/>
      <c r="D209" s="8"/>
      <c r="E209" s="8"/>
      <c r="F209" s="18"/>
      <c r="G209" s="18"/>
      <c r="H209" s="8"/>
      <c r="I209" s="8"/>
    </row>
    <row r="210" spans="1:9" ht="25.5">
      <c r="A210" s="47" t="s">
        <v>42</v>
      </c>
      <c r="B210" s="31">
        <f>L130+I29</f>
        <v>0</v>
      </c>
      <c r="C210" s="9"/>
      <c r="D210" s="8"/>
      <c r="E210" s="8"/>
      <c r="F210" s="18"/>
      <c r="G210" s="18"/>
      <c r="H210" s="8"/>
      <c r="I210" s="8"/>
    </row>
    <row r="211" spans="1:9" ht="12.75">
      <c r="A211" s="60" t="s">
        <v>43</v>
      </c>
      <c r="B211" s="13">
        <f>B208+B209+B210</f>
        <v>1130957.1099999999</v>
      </c>
      <c r="C211" s="8"/>
      <c r="D211" s="8"/>
      <c r="E211" s="8"/>
      <c r="F211" s="8"/>
      <c r="G211" s="8"/>
      <c r="H211" s="8"/>
      <c r="I211" s="8"/>
    </row>
    <row r="212" spans="1:9" ht="12.75">
      <c r="A212" s="73">
        <v>45078</v>
      </c>
      <c r="B212" s="31">
        <f>L132+D90+I31</f>
        <v>750353.9099999999</v>
      </c>
      <c r="C212" s="9"/>
      <c r="D212" s="9"/>
      <c r="E212" s="9"/>
      <c r="F212" s="18"/>
      <c r="G212" s="18"/>
      <c r="H212" s="8"/>
      <c r="I212" s="8"/>
    </row>
    <row r="213" spans="1:9" ht="25.5">
      <c r="A213" s="43" t="s">
        <v>44</v>
      </c>
      <c r="B213" s="31">
        <f>L133+I32</f>
        <v>310252</v>
      </c>
      <c r="C213" s="9"/>
      <c r="D213" s="9"/>
      <c r="E213" s="9"/>
      <c r="F213" s="18"/>
      <c r="G213" s="18"/>
      <c r="H213" s="8"/>
      <c r="I213" s="8"/>
    </row>
    <row r="214" spans="1:9" ht="25.5">
      <c r="A214" s="47" t="s">
        <v>45</v>
      </c>
      <c r="B214" s="31">
        <f>L134+I33</f>
        <v>0</v>
      </c>
      <c r="C214" s="9"/>
      <c r="D214" s="9"/>
      <c r="E214" s="9"/>
      <c r="F214" s="18"/>
      <c r="G214" s="18"/>
      <c r="H214" s="8"/>
      <c r="I214" s="8"/>
    </row>
    <row r="215" spans="1:9" ht="25.5">
      <c r="A215" s="60" t="s">
        <v>46</v>
      </c>
      <c r="B215" s="13">
        <f>B212+B213+B214</f>
        <v>1060605.91</v>
      </c>
      <c r="C215" s="8"/>
      <c r="D215" s="8"/>
      <c r="E215" s="8"/>
      <c r="F215" s="8"/>
      <c r="G215" s="8"/>
      <c r="H215" s="8"/>
      <c r="I215" s="8"/>
    </row>
    <row r="216" spans="1:9" ht="12.75">
      <c r="A216" s="28" t="s">
        <v>47</v>
      </c>
      <c r="B216" s="66">
        <f>B204+B208+B212</f>
        <v>2392860.8</v>
      </c>
      <c r="C216" s="39"/>
      <c r="D216" s="39"/>
      <c r="E216" s="39"/>
      <c r="F216" s="18"/>
      <c r="G216" s="18"/>
      <c r="H216" s="18"/>
      <c r="I216" s="18"/>
    </row>
    <row r="217" spans="1:9" ht="25.5">
      <c r="A217" s="49" t="s">
        <v>48</v>
      </c>
      <c r="B217" s="66">
        <f>B205+B209+B213</f>
        <v>832878.72</v>
      </c>
      <c r="C217" s="39"/>
      <c r="D217" s="39"/>
      <c r="E217" s="39"/>
      <c r="F217" s="39"/>
      <c r="G217" s="39"/>
      <c r="H217" s="18"/>
      <c r="I217" s="18"/>
    </row>
    <row r="218" spans="1:9" ht="25.5">
      <c r="A218" s="49" t="s">
        <v>49</v>
      </c>
      <c r="B218" s="66">
        <f>B206+B210+B214</f>
        <v>0</v>
      </c>
      <c r="C218" s="39"/>
      <c r="D218" s="39"/>
      <c r="E218" s="39"/>
      <c r="F218" s="39"/>
      <c r="G218" s="39"/>
      <c r="H218" s="18"/>
      <c r="I218" s="18"/>
    </row>
    <row r="219" spans="1:9" ht="38.25">
      <c r="A219" s="49" t="s">
        <v>102</v>
      </c>
      <c r="B219" s="66">
        <f>B216+B217+B218</f>
        <v>3225739.5199999996</v>
      </c>
      <c r="C219" s="39"/>
      <c r="D219" s="39"/>
      <c r="E219" s="39"/>
      <c r="F219" s="39"/>
      <c r="G219" s="39"/>
      <c r="H219" s="18"/>
      <c r="I219" s="18"/>
    </row>
    <row r="220" spans="1:9" ht="12.75">
      <c r="A220" s="73">
        <v>45108</v>
      </c>
      <c r="B220" s="31">
        <f>L140+D92+I39</f>
        <v>904405.73</v>
      </c>
      <c r="C220" s="65"/>
      <c r="D220" s="30"/>
      <c r="E220" s="8"/>
      <c r="F220" s="18"/>
      <c r="G220" s="18"/>
      <c r="H220" s="9"/>
      <c r="I220" s="9"/>
    </row>
    <row r="221" spans="1:9" ht="25.5">
      <c r="A221" s="43" t="s">
        <v>51</v>
      </c>
      <c r="B221" s="31">
        <f>L142+I41</f>
        <v>303574.46</v>
      </c>
      <c r="C221" s="65"/>
      <c r="D221" s="30"/>
      <c r="E221" s="8"/>
      <c r="F221" s="18"/>
      <c r="G221" s="18"/>
      <c r="H221" s="9"/>
      <c r="I221" s="9"/>
    </row>
    <row r="222" spans="1:9" ht="25.5">
      <c r="A222" s="47" t="s">
        <v>50</v>
      </c>
      <c r="B222" s="31">
        <f>L141+I40</f>
        <v>0</v>
      </c>
      <c r="C222" s="65"/>
      <c r="D222" s="30"/>
      <c r="E222" s="8"/>
      <c r="F222" s="18"/>
      <c r="G222" s="18"/>
      <c r="H222" s="9"/>
      <c r="I222" s="9"/>
    </row>
    <row r="223" spans="1:9" ht="25.5">
      <c r="A223" s="60" t="s">
        <v>52</v>
      </c>
      <c r="B223" s="31">
        <f>B220+B221+B222</f>
        <v>1207980.19</v>
      </c>
      <c r="C223" s="8"/>
      <c r="D223" s="8"/>
      <c r="E223" s="8"/>
      <c r="F223" s="8"/>
      <c r="G223" s="8"/>
      <c r="H223" s="9"/>
      <c r="I223" s="9"/>
    </row>
    <row r="224" spans="1:9" ht="12.75">
      <c r="A224" s="73">
        <v>45139</v>
      </c>
      <c r="B224" s="31">
        <f>L144+D93+I43</f>
        <v>889619.8399999999</v>
      </c>
      <c r="C224" s="65"/>
      <c r="D224" s="30"/>
      <c r="E224" s="8"/>
      <c r="F224" s="18"/>
      <c r="G224" s="18"/>
      <c r="H224" s="9"/>
      <c r="I224" s="9"/>
    </row>
    <row r="225" spans="1:9" ht="25.5">
      <c r="A225" s="47" t="s">
        <v>53</v>
      </c>
      <c r="B225" s="31">
        <f>L145+I44</f>
        <v>0</v>
      </c>
      <c r="C225" s="65"/>
      <c r="D225" s="30"/>
      <c r="E225" s="8"/>
      <c r="F225" s="18"/>
      <c r="G225" s="18"/>
      <c r="H225" s="9"/>
      <c r="I225" s="9"/>
    </row>
    <row r="226" spans="1:9" ht="25.5">
      <c r="A226" s="47" t="s">
        <v>54</v>
      </c>
      <c r="B226" s="31">
        <f>L146+I45</f>
        <v>295278.94</v>
      </c>
      <c r="C226" s="65"/>
      <c r="D226" s="30"/>
      <c r="E226" s="8"/>
      <c r="F226" s="18"/>
      <c r="G226" s="18"/>
      <c r="H226" s="9"/>
      <c r="I226" s="9"/>
    </row>
    <row r="227" spans="1:9" ht="25.5">
      <c r="A227" s="47" t="s">
        <v>94</v>
      </c>
      <c r="B227" s="31">
        <f>L147</f>
        <v>121.05</v>
      </c>
      <c r="C227" s="65"/>
      <c r="D227" s="30"/>
      <c r="E227" s="8"/>
      <c r="F227" s="18"/>
      <c r="G227" s="18"/>
      <c r="H227" s="9"/>
      <c r="I227" s="9"/>
    </row>
    <row r="228" spans="1:9" ht="25.5">
      <c r="A228" s="60" t="s">
        <v>55</v>
      </c>
      <c r="B228" s="31">
        <f>SUM(B224:B227)</f>
        <v>1185019.8299999998</v>
      </c>
      <c r="C228" s="65"/>
      <c r="D228" s="65"/>
      <c r="E228" s="65"/>
      <c r="F228" s="18"/>
      <c r="G228" s="18"/>
      <c r="H228" s="9"/>
      <c r="I228" s="9"/>
    </row>
    <row r="229" spans="1:9" ht="12.75">
      <c r="A229" s="73">
        <v>45170</v>
      </c>
      <c r="B229" s="31">
        <f>L149+D94+I47</f>
        <v>973376.2</v>
      </c>
      <c r="C229" s="65"/>
      <c r="D229" s="30"/>
      <c r="E229" s="8"/>
      <c r="F229" s="18"/>
      <c r="G229" s="18"/>
      <c r="H229" s="9"/>
      <c r="I229" s="9"/>
    </row>
    <row r="230" spans="1:9" ht="25.5">
      <c r="A230" s="47" t="s">
        <v>86</v>
      </c>
      <c r="B230" s="31">
        <f>L150+I48</f>
        <v>125.18</v>
      </c>
      <c r="C230" s="65"/>
      <c r="D230" s="30"/>
      <c r="E230" s="8"/>
      <c r="F230" s="18"/>
      <c r="G230" s="18"/>
      <c r="H230" s="9"/>
      <c r="I230" s="9"/>
    </row>
    <row r="231" spans="1:9" ht="38.25">
      <c r="A231" s="43" t="s">
        <v>87</v>
      </c>
      <c r="B231" s="31">
        <f>L151+I49</f>
        <v>295316.19</v>
      </c>
      <c r="C231" s="65"/>
      <c r="D231" s="30"/>
      <c r="E231" s="8"/>
      <c r="F231" s="18"/>
      <c r="G231" s="18"/>
      <c r="H231" s="9"/>
      <c r="I231" s="9"/>
    </row>
    <row r="232" spans="1:9" ht="38.25">
      <c r="A232" s="60" t="s">
        <v>88</v>
      </c>
      <c r="B232" s="31">
        <f>SUM(B229:B231)</f>
        <v>1268817.57</v>
      </c>
      <c r="C232" s="65"/>
      <c r="D232" s="65"/>
      <c r="E232" s="65"/>
      <c r="F232" s="18"/>
      <c r="G232" s="18"/>
      <c r="H232" s="9"/>
      <c r="I232" s="9"/>
    </row>
    <row r="233" spans="1:9" ht="12.75">
      <c r="A233" s="28" t="s">
        <v>59</v>
      </c>
      <c r="B233" s="66">
        <f>B220+B224+B229</f>
        <v>2767401.7699999996</v>
      </c>
      <c r="C233" s="24"/>
      <c r="D233" s="24"/>
      <c r="E233" s="24"/>
      <c r="F233" s="18"/>
      <c r="G233" s="18"/>
      <c r="H233" s="18"/>
      <c r="I233" s="18"/>
    </row>
    <row r="234" spans="1:9" ht="25.5">
      <c r="A234" s="49" t="s">
        <v>60</v>
      </c>
      <c r="B234" s="66">
        <f>B221+B226+B231</f>
        <v>894169.5900000001</v>
      </c>
      <c r="C234" s="39"/>
      <c r="D234" s="39"/>
      <c r="E234" s="39"/>
      <c r="F234" s="18"/>
      <c r="G234" s="18"/>
      <c r="H234" s="18"/>
      <c r="I234" s="18"/>
    </row>
    <row r="235" spans="1:9" ht="25.5">
      <c r="A235" s="49" t="s">
        <v>61</v>
      </c>
      <c r="B235" s="66">
        <f>B225+B230</f>
        <v>125.18</v>
      </c>
      <c r="C235" s="39"/>
      <c r="D235" s="39"/>
      <c r="E235" s="39"/>
      <c r="F235" s="18"/>
      <c r="G235" s="18"/>
      <c r="H235" s="18"/>
      <c r="I235" s="18"/>
    </row>
    <row r="236" spans="1:9" ht="25.5">
      <c r="A236" s="49" t="s">
        <v>100</v>
      </c>
      <c r="B236" s="66">
        <f>B227</f>
        <v>121.05</v>
      </c>
      <c r="C236" s="39"/>
      <c r="D236" s="39"/>
      <c r="E236" s="39"/>
      <c r="F236" s="18"/>
      <c r="G236" s="18"/>
      <c r="H236" s="18"/>
      <c r="I236" s="18"/>
    </row>
    <row r="237" spans="1:9" ht="38.25">
      <c r="A237" s="49" t="s">
        <v>62</v>
      </c>
      <c r="B237" s="66">
        <f>SUM(B233:B235)</f>
        <v>3661696.5399999996</v>
      </c>
      <c r="C237" s="39"/>
      <c r="D237" s="39"/>
      <c r="E237" s="39"/>
      <c r="F237" s="18"/>
      <c r="G237" s="18"/>
      <c r="H237" s="18"/>
      <c r="I237" s="18"/>
    </row>
    <row r="238" spans="1:9" ht="51">
      <c r="A238" s="49" t="s">
        <v>101</v>
      </c>
      <c r="B238" s="66">
        <f>B233+B234+B235+B236</f>
        <v>3661817.5899999994</v>
      </c>
      <c r="C238" s="39"/>
      <c r="D238" s="39"/>
      <c r="E238" s="39"/>
      <c r="F238" s="18"/>
      <c r="G238" s="18"/>
      <c r="H238" s="18"/>
      <c r="I238" s="18"/>
    </row>
    <row r="239" spans="1:9" ht="12.75">
      <c r="A239" s="73">
        <v>45200</v>
      </c>
      <c r="B239" s="11">
        <f>L159+D96+I55</f>
        <v>933503.14</v>
      </c>
      <c r="C239" s="65"/>
      <c r="D239" s="30"/>
      <c r="E239" s="8"/>
      <c r="F239" s="18"/>
      <c r="G239" s="18"/>
      <c r="H239" s="18"/>
      <c r="I239" s="18"/>
    </row>
    <row r="240" spans="1:9" ht="25.5">
      <c r="A240" s="47" t="s">
        <v>63</v>
      </c>
      <c r="B240" s="11">
        <f>L160+I56</f>
        <v>199.59</v>
      </c>
      <c r="C240" s="65"/>
      <c r="D240" s="30"/>
      <c r="E240" s="8"/>
      <c r="F240" s="18"/>
      <c r="G240" s="18"/>
      <c r="H240" s="18"/>
      <c r="I240" s="18"/>
    </row>
    <row r="241" spans="1:9" ht="25.5">
      <c r="A241" s="47" t="s">
        <v>64</v>
      </c>
      <c r="B241" s="11">
        <f>L161+I57</f>
        <v>405990.24</v>
      </c>
      <c r="C241" s="65"/>
      <c r="D241" s="30"/>
      <c r="E241" s="8"/>
      <c r="F241" s="18"/>
      <c r="G241" s="18"/>
      <c r="H241" s="18"/>
      <c r="I241" s="18"/>
    </row>
    <row r="242" spans="1:9" ht="12.75">
      <c r="A242" s="60" t="s">
        <v>65</v>
      </c>
      <c r="B242" s="11">
        <f>SUM(B239:B241)</f>
        <v>1339692.97</v>
      </c>
      <c r="C242" s="30"/>
      <c r="D242" s="30"/>
      <c r="E242" s="30"/>
      <c r="F242" s="30"/>
      <c r="G242" s="30"/>
      <c r="H242" s="18"/>
      <c r="I242" s="18"/>
    </row>
    <row r="243" spans="1:9" ht="12.75">
      <c r="A243" s="73">
        <v>45231</v>
      </c>
      <c r="B243" s="11">
        <f>L163+D97+I59</f>
        <v>849397.85</v>
      </c>
      <c r="C243" s="65"/>
      <c r="D243" s="30"/>
      <c r="E243" s="8"/>
      <c r="F243" s="18"/>
      <c r="G243" s="18"/>
      <c r="H243" s="18"/>
      <c r="I243" s="18"/>
    </row>
    <row r="244" spans="1:9" ht="25.5">
      <c r="A244" s="47" t="s">
        <v>66</v>
      </c>
      <c r="B244" s="11">
        <f>L164+I60</f>
        <v>2856.42</v>
      </c>
      <c r="C244" s="65"/>
      <c r="D244" s="30"/>
      <c r="E244" s="8"/>
      <c r="F244" s="18"/>
      <c r="G244" s="18"/>
      <c r="H244" s="18"/>
      <c r="I244" s="18"/>
    </row>
    <row r="245" spans="1:9" ht="25.5">
      <c r="A245" s="47" t="s">
        <v>67</v>
      </c>
      <c r="B245" s="11">
        <f>L165+I61</f>
        <v>374010.55</v>
      </c>
      <c r="C245" s="65"/>
      <c r="D245" s="30"/>
      <c r="E245" s="8"/>
      <c r="F245" s="18"/>
      <c r="G245" s="18"/>
      <c r="H245" s="18"/>
      <c r="I245" s="18"/>
    </row>
    <row r="246" spans="1:9" ht="12.75">
      <c r="A246" s="60" t="s">
        <v>68</v>
      </c>
      <c r="B246" s="11">
        <f>SUM(B243:B245)</f>
        <v>1226264.82</v>
      </c>
      <c r="C246" s="30"/>
      <c r="D246" s="30"/>
      <c r="E246" s="30"/>
      <c r="F246" s="30"/>
      <c r="G246" s="30"/>
      <c r="H246" s="18"/>
      <c r="I246" s="18"/>
    </row>
    <row r="247" spans="1:9" ht="12.75">
      <c r="A247" s="73">
        <v>45261</v>
      </c>
      <c r="B247" s="11">
        <f>L167+D98+I63</f>
        <v>1123052.93</v>
      </c>
      <c r="C247" s="30"/>
      <c r="D247" s="30"/>
      <c r="E247" s="30"/>
      <c r="F247" s="30"/>
      <c r="G247" s="30"/>
      <c r="H247" s="18"/>
      <c r="I247" s="18"/>
    </row>
    <row r="248" spans="1:9" ht="25.5">
      <c r="A248" s="47" t="s">
        <v>69</v>
      </c>
      <c r="B248" s="11">
        <f>L168+I64</f>
        <v>0</v>
      </c>
      <c r="C248" s="30"/>
      <c r="D248" s="30"/>
      <c r="E248" s="30"/>
      <c r="F248" s="30"/>
      <c r="G248" s="30"/>
      <c r="H248" s="18"/>
      <c r="I248" s="18"/>
    </row>
    <row r="249" spans="1:9" ht="25.5">
      <c r="A249" s="47" t="s">
        <v>70</v>
      </c>
      <c r="B249" s="11">
        <f>L169+I65</f>
        <v>0</v>
      </c>
      <c r="C249" s="30"/>
      <c r="D249" s="30"/>
      <c r="E249" s="30"/>
      <c r="F249" s="30"/>
      <c r="G249" s="30"/>
      <c r="H249" s="18"/>
      <c r="I249" s="18"/>
    </row>
    <row r="250" spans="1:9" ht="12.75">
      <c r="A250" s="60" t="s">
        <v>71</v>
      </c>
      <c r="B250" s="11">
        <f>SUM(B247:B249)</f>
        <v>1123052.93</v>
      </c>
      <c r="C250" s="30"/>
      <c r="D250" s="30"/>
      <c r="E250" s="30"/>
      <c r="F250" s="30"/>
      <c r="G250" s="30"/>
      <c r="H250" s="18"/>
      <c r="I250" s="18"/>
    </row>
    <row r="251" spans="1:9" ht="25.5">
      <c r="A251" s="5" t="s">
        <v>72</v>
      </c>
      <c r="B251" s="66">
        <f>B239+B243+B247</f>
        <v>2905953.92</v>
      </c>
      <c r="C251" s="39"/>
      <c r="D251" s="39"/>
      <c r="E251" s="39"/>
      <c r="F251" s="39"/>
      <c r="G251" s="39"/>
      <c r="H251" s="18"/>
      <c r="I251" s="18"/>
    </row>
    <row r="252" spans="1:9" ht="25.5">
      <c r="A252" s="49" t="s">
        <v>73</v>
      </c>
      <c r="B252" s="66">
        <f>B241+B245+B249</f>
        <v>780000.79</v>
      </c>
      <c r="C252" s="39"/>
      <c r="D252" s="39"/>
      <c r="E252" s="39"/>
      <c r="F252" s="39"/>
      <c r="G252" s="39"/>
      <c r="H252" s="18"/>
      <c r="I252" s="18"/>
    </row>
    <row r="253" spans="1:9" ht="25.5">
      <c r="A253" s="49" t="s">
        <v>74</v>
      </c>
      <c r="B253" s="66">
        <f>B240+B244+B248</f>
        <v>3056.01</v>
      </c>
      <c r="C253" s="39"/>
      <c r="D253" s="39"/>
      <c r="E253" s="39"/>
      <c r="F253" s="39"/>
      <c r="G253" s="39"/>
      <c r="H253" s="18"/>
      <c r="I253" s="18"/>
    </row>
    <row r="254" spans="1:9" ht="38.25">
      <c r="A254" s="49" t="s">
        <v>75</v>
      </c>
      <c r="B254" s="66">
        <f>SUM(B251:B253)</f>
        <v>3689010.7199999997</v>
      </c>
      <c r="C254" s="39"/>
      <c r="D254" s="39"/>
      <c r="E254" s="39"/>
      <c r="F254" s="39"/>
      <c r="G254" s="39"/>
      <c r="H254" s="18"/>
      <c r="I254" s="18"/>
    </row>
    <row r="255" spans="1:9" ht="25.5" customHeight="1">
      <c r="A255" s="19" t="s">
        <v>76</v>
      </c>
      <c r="B255" s="66">
        <f>B200+B216+B233+B251</f>
        <v>10340181.62</v>
      </c>
      <c r="C255" s="89"/>
      <c r="D255" s="89"/>
      <c r="E255" s="89"/>
      <c r="F255" s="18"/>
      <c r="G255" s="18"/>
      <c r="H255" s="18"/>
      <c r="I255" s="18"/>
    </row>
    <row r="256" spans="1:9" ht="39" customHeight="1">
      <c r="A256" s="19" t="s">
        <v>90</v>
      </c>
      <c r="B256" s="66">
        <f>B200+B216+B233+B251</f>
        <v>10340181.62</v>
      </c>
      <c r="C256" s="89"/>
      <c r="D256" s="89"/>
      <c r="E256" s="89"/>
      <c r="F256" s="18"/>
      <c r="G256" s="18"/>
      <c r="H256" s="18"/>
      <c r="I256" s="18"/>
    </row>
    <row r="257" spans="1:9" ht="39" customHeight="1">
      <c r="A257" s="19" t="s">
        <v>21</v>
      </c>
      <c r="B257" s="66">
        <f>B252+B234+B217+B201</f>
        <v>3285699.76</v>
      </c>
      <c r="C257" s="89"/>
      <c r="D257" s="89"/>
      <c r="E257" s="89"/>
      <c r="F257" s="18"/>
      <c r="G257" s="18"/>
      <c r="H257" s="18"/>
      <c r="I257" s="18"/>
    </row>
    <row r="258" spans="1:9" ht="39" customHeight="1">
      <c r="A258" s="19" t="s">
        <v>22</v>
      </c>
      <c r="B258" s="66">
        <f>B253+B235+B218+B202</f>
        <v>3893</v>
      </c>
      <c r="C258" s="89"/>
      <c r="D258" s="89"/>
      <c r="E258" s="89"/>
      <c r="F258" s="18"/>
      <c r="G258" s="18"/>
      <c r="H258" s="18"/>
      <c r="I258" s="18"/>
    </row>
    <row r="259" spans="1:9" ht="39" customHeight="1">
      <c r="A259" s="19" t="s">
        <v>99</v>
      </c>
      <c r="B259" s="66">
        <f>B236</f>
        <v>121.05</v>
      </c>
      <c r="C259" s="89"/>
      <c r="D259" s="89"/>
      <c r="E259" s="89"/>
      <c r="F259" s="18"/>
      <c r="G259" s="18"/>
      <c r="H259" s="18"/>
      <c r="I259" s="18"/>
    </row>
    <row r="260" spans="1:9" ht="89.25">
      <c r="A260" s="19" t="s">
        <v>92</v>
      </c>
      <c r="B260" s="66">
        <f>B256+B257+B258+B259</f>
        <v>13629895.43</v>
      </c>
      <c r="C260" s="39"/>
      <c r="D260" s="39"/>
      <c r="E260" s="39"/>
      <c r="F260" s="39"/>
      <c r="G260" s="39"/>
      <c r="H260" s="18"/>
      <c r="I260" s="18"/>
    </row>
    <row r="261" spans="1:9" ht="25.5">
      <c r="A261" s="21" t="s">
        <v>93</v>
      </c>
      <c r="B261" s="39">
        <v>151945.62</v>
      </c>
      <c r="C261" s="39"/>
      <c r="D261" s="39"/>
      <c r="E261" s="39"/>
      <c r="F261" s="39"/>
      <c r="G261" s="39"/>
      <c r="H261" s="18"/>
      <c r="I261" s="18"/>
    </row>
    <row r="262" ht="12.75">
      <c r="B262" s="98">
        <f>SUM(B260:B261)</f>
        <v>13781841.049999999</v>
      </c>
    </row>
  </sheetData>
  <sheetProtection/>
  <mergeCells count="8">
    <mergeCell ref="I4:I5"/>
    <mergeCell ref="A185:A186"/>
    <mergeCell ref="A82:A83"/>
    <mergeCell ref="A106:A107"/>
    <mergeCell ref="A4:A5"/>
    <mergeCell ref="C184:D184"/>
    <mergeCell ref="F184:G184"/>
    <mergeCell ref="B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r:id="rId1"/>
  <ignoredErrors>
    <ignoredError sqref="F10 I27:I29 I30:I31 D88:D101 I47 K1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DECLARATII</dc:creator>
  <cp:keywords/>
  <dc:description/>
  <cp:lastModifiedBy>Cata</cp:lastModifiedBy>
  <cp:lastPrinted>2023-10-19T06:53:31Z</cp:lastPrinted>
  <dcterms:created xsi:type="dcterms:W3CDTF">2007-02-14T09:57:22Z</dcterms:created>
  <dcterms:modified xsi:type="dcterms:W3CDTF">2023-12-21T06:51:04Z</dcterms:modified>
  <cp:category/>
  <cp:version/>
  <cp:contentType/>
  <cp:contentStatus/>
</cp:coreProperties>
</file>